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as\Desktop\"/>
    </mc:Choice>
  </mc:AlternateContent>
  <xr:revisionPtr revIDLastSave="0" documentId="13_ncr:1_{6790C5F4-D24D-4C85-91D0-1266BF10E1D5}" xr6:coauthVersionLast="47" xr6:coauthVersionMax="47" xr10:uidLastSave="{00000000-0000-0000-0000-000000000000}"/>
  <bookViews>
    <workbookView xWindow="-110" yWindow="-110" windowWidth="38620" windowHeight="21100" xr2:uid="{E38A5D1F-E655-403D-9198-4D7FF27ADA83}"/>
  </bookViews>
  <sheets>
    <sheet name="Valoració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O21" i="1"/>
  <c r="P21" i="1"/>
  <c r="Q21" i="1"/>
  <c r="I4" i="1"/>
  <c r="I5" i="1" s="1"/>
  <c r="N28" i="1" l="1"/>
  <c r="Q13" i="1" l="1"/>
  <c r="Q12" i="1"/>
  <c r="P13" i="1"/>
  <c r="P12" i="1"/>
  <c r="N22" i="1" l="1"/>
  <c r="M22" i="1"/>
  <c r="L22" i="1"/>
  <c r="K22" i="1"/>
  <c r="J22" i="1"/>
  <c r="I22" i="1"/>
  <c r="H22" i="1"/>
  <c r="F22" i="1"/>
  <c r="G22" i="1"/>
  <c r="X12" i="1" l="1"/>
  <c r="X15" i="1" s="1"/>
  <c r="W12" i="1"/>
  <c r="W15" i="1" s="1"/>
  <c r="V12" i="1"/>
  <c r="V15" i="1" s="1"/>
  <c r="U12" i="1"/>
  <c r="U15" i="1" s="1"/>
  <c r="T12" i="1"/>
  <c r="T15" i="1" s="1"/>
  <c r="N17" i="1"/>
  <c r="N24" i="1" s="1"/>
  <c r="M17" i="1"/>
  <c r="L17" i="1"/>
  <c r="K17" i="1"/>
  <c r="J17" i="1"/>
  <c r="I17" i="1"/>
  <c r="H17" i="1"/>
  <c r="G17" i="1"/>
  <c r="F17" i="1"/>
  <c r="Q16" i="1"/>
  <c r="P16" i="1"/>
  <c r="O16" i="1"/>
  <c r="Q15" i="1"/>
  <c r="P15" i="1"/>
  <c r="O15" i="1"/>
  <c r="Q14" i="1"/>
  <c r="P14" i="1"/>
  <c r="O14" i="1"/>
  <c r="F6" i="1" l="1"/>
  <c r="F8" i="1"/>
  <c r="F3" i="1"/>
  <c r="J4" i="1" l="1"/>
  <c r="N7" i="1"/>
  <c r="J5" i="1" l="1"/>
  <c r="C7" i="1"/>
  <c r="X27" i="1"/>
  <c r="W27" i="1"/>
  <c r="V27" i="1"/>
  <c r="U27" i="1"/>
  <c r="T27" i="1"/>
  <c r="AA19" i="1" l="1"/>
  <c r="AA18" i="1"/>
  <c r="AA17" i="1"/>
  <c r="AA16" i="1"/>
  <c r="AA15" i="1"/>
  <c r="AA14" i="1"/>
  <c r="AA13" i="1"/>
  <c r="AA12" i="1"/>
  <c r="AA11" i="1"/>
  <c r="AA10" i="1"/>
  <c r="AA9" i="1"/>
  <c r="AA7" i="1"/>
  <c r="AB11" i="1"/>
  <c r="AB10" i="1" s="1"/>
  <c r="AB9" i="1" s="1"/>
  <c r="AB7" i="1" s="1"/>
  <c r="AB13" i="1"/>
  <c r="AB14" i="1" s="1"/>
  <c r="AB15" i="1" s="1"/>
  <c r="AB16" i="1" s="1"/>
  <c r="AB17" i="1" s="1"/>
  <c r="AB18" i="1" s="1"/>
  <c r="AB19" i="1" s="1"/>
  <c r="N10" i="1" l="1"/>
  <c r="M24" i="1"/>
  <c r="L24" i="1"/>
  <c r="K24" i="1"/>
  <c r="J24" i="1"/>
  <c r="I24" i="1"/>
  <c r="H24" i="1"/>
  <c r="G24" i="1"/>
  <c r="F24" i="1"/>
  <c r="M36" i="1" l="1"/>
  <c r="L36" i="1"/>
  <c r="K36" i="1"/>
  <c r="J36" i="1"/>
  <c r="I36" i="1"/>
  <c r="H36" i="1"/>
  <c r="G36" i="1"/>
  <c r="N36" i="1"/>
  <c r="M11" i="1" l="1"/>
  <c r="L11" i="1"/>
  <c r="K11" i="1"/>
  <c r="J11" i="1"/>
  <c r="I11" i="1"/>
  <c r="H11" i="1"/>
  <c r="G11" i="1"/>
  <c r="N11" i="1"/>
  <c r="N33" i="1" l="1"/>
  <c r="M33" i="1"/>
  <c r="L33" i="1"/>
  <c r="K33" i="1"/>
  <c r="J33" i="1"/>
  <c r="I33" i="1"/>
  <c r="H33" i="1"/>
  <c r="G33" i="1"/>
  <c r="F33" i="1"/>
  <c r="C11" i="1" l="1"/>
  <c r="C21" i="1" s="1"/>
  <c r="C20" i="1" s="1"/>
  <c r="H40" i="1" s="1"/>
  <c r="M28" i="1" l="1"/>
  <c r="L28" i="1"/>
  <c r="K28" i="1"/>
  <c r="J28" i="1"/>
  <c r="I28" i="1"/>
  <c r="H28" i="1"/>
  <c r="G28" i="1"/>
  <c r="F28" i="1"/>
  <c r="N32" i="1" l="1"/>
  <c r="N31" i="1"/>
  <c r="N30" i="1"/>
  <c r="M32" i="1"/>
  <c r="M31" i="1"/>
  <c r="M30" i="1"/>
  <c r="L31" i="1"/>
  <c r="L32" i="1"/>
  <c r="L30" i="1"/>
  <c r="K32" i="1"/>
  <c r="K31" i="1"/>
  <c r="K30" i="1"/>
  <c r="J31" i="1"/>
  <c r="J30" i="1"/>
  <c r="J32" i="1"/>
  <c r="I31" i="1"/>
  <c r="I30" i="1"/>
  <c r="I32" i="1"/>
  <c r="H30" i="1"/>
  <c r="H31" i="1"/>
  <c r="H32" i="1"/>
  <c r="G30" i="1"/>
  <c r="G32" i="1"/>
  <c r="G31" i="1"/>
  <c r="F31" i="1"/>
  <c r="F30" i="1"/>
  <c r="F32" i="1"/>
  <c r="Q35" i="1"/>
  <c r="P35" i="1"/>
  <c r="O35" i="1"/>
  <c r="X28" i="1"/>
  <c r="X29" i="1" s="1"/>
  <c r="W28" i="1"/>
  <c r="W29" i="1" s="1"/>
  <c r="V28" i="1"/>
  <c r="V29" i="1" s="1"/>
  <c r="U28" i="1"/>
  <c r="U29" i="1" s="1"/>
  <c r="T28" i="1"/>
  <c r="T29" i="1" s="1"/>
  <c r="Q27" i="1"/>
  <c r="P27" i="1"/>
  <c r="O27" i="1"/>
  <c r="X19" i="1"/>
  <c r="X22" i="1" s="1"/>
  <c r="X23" i="1" s="1"/>
  <c r="W19" i="1"/>
  <c r="W22" i="1" s="1"/>
  <c r="W23" i="1" s="1"/>
  <c r="V19" i="1"/>
  <c r="V22" i="1" s="1"/>
  <c r="V23" i="1" s="1"/>
  <c r="U19" i="1"/>
  <c r="U22" i="1" s="1"/>
  <c r="U23" i="1" s="1"/>
  <c r="T19" i="1"/>
  <c r="T22" i="1" s="1"/>
  <c r="T23" i="1" s="1"/>
  <c r="N18" i="1"/>
  <c r="M18" i="1"/>
  <c r="L18" i="1"/>
  <c r="K18" i="1"/>
  <c r="J18" i="1"/>
  <c r="I18" i="1"/>
  <c r="H18" i="1"/>
  <c r="G18" i="1"/>
  <c r="F18" i="1"/>
  <c r="N19" i="1"/>
  <c r="M19" i="1"/>
  <c r="L19" i="1"/>
  <c r="K19" i="1"/>
  <c r="J19" i="1"/>
  <c r="I19" i="1"/>
  <c r="H19" i="1"/>
  <c r="G19" i="1"/>
  <c r="F19" i="1"/>
  <c r="Q17" i="1"/>
  <c r="P17" i="1"/>
  <c r="O17" i="1"/>
  <c r="O13" i="1"/>
  <c r="O12" i="1"/>
  <c r="X10" i="1"/>
  <c r="M10" i="1"/>
  <c r="W10" i="1" s="1"/>
  <c r="C4" i="1"/>
  <c r="N4" i="1"/>
  <c r="C22" i="1" s="1"/>
  <c r="F2" i="1"/>
  <c r="G2" i="1" s="1"/>
  <c r="H2" i="1" s="1"/>
  <c r="I2" i="1" s="1"/>
  <c r="J2" i="1" s="1"/>
  <c r="V31" i="1" l="1"/>
  <c r="V33" i="1" s="1"/>
  <c r="X31" i="1"/>
  <c r="X33" i="1" s="1"/>
  <c r="T31" i="1"/>
  <c r="T33" i="1" s="1"/>
  <c r="U31" i="1"/>
  <c r="U33" i="1" s="1"/>
  <c r="W31" i="1"/>
  <c r="W33" i="1" s="1"/>
  <c r="Q19" i="1"/>
  <c r="P19" i="1"/>
  <c r="O19" i="1"/>
  <c r="O18" i="1"/>
  <c r="Q18" i="1"/>
  <c r="P18" i="1"/>
  <c r="F7" i="1"/>
  <c r="N25" i="1"/>
  <c r="K25" i="1"/>
  <c r="Q24" i="1"/>
  <c r="G25" i="1"/>
  <c r="J25" i="1"/>
  <c r="I25" i="1"/>
  <c r="M25" i="1"/>
  <c r="H25" i="1"/>
  <c r="L25" i="1"/>
  <c r="Q33" i="1"/>
  <c r="O33" i="1"/>
  <c r="L10" i="1"/>
  <c r="P33" i="1"/>
  <c r="O24" i="1"/>
  <c r="P24" i="1"/>
  <c r="T35" i="1" l="1"/>
  <c r="Q32" i="1"/>
  <c r="O32" i="1"/>
  <c r="P32" i="1"/>
  <c r="Q30" i="1"/>
  <c r="P30" i="1"/>
  <c r="O30" i="1"/>
  <c r="V10" i="1"/>
  <c r="K10" i="1"/>
  <c r="Q31" i="1"/>
  <c r="P31" i="1"/>
  <c r="O31" i="1"/>
  <c r="U10" i="1" l="1"/>
  <c r="J10" i="1"/>
  <c r="I10" i="1" l="1"/>
  <c r="H10" i="1" s="1"/>
  <c r="G10" i="1" s="1"/>
  <c r="F10" i="1" s="1"/>
  <c r="T10" i="1"/>
  <c r="C9" i="1" l="1"/>
  <c r="J40" i="1" l="1"/>
  <c r="H41" i="1"/>
  <c r="J41" i="1" s="1"/>
  <c r="H42" i="1"/>
  <c r="J42" i="1" s="1"/>
  <c r="I40" i="1"/>
  <c r="L40" i="1" l="1"/>
  <c r="K42" i="1"/>
  <c r="K41" i="1"/>
  <c r="K40" i="1"/>
  <c r="I42" i="1"/>
  <c r="L42" i="1" s="1"/>
  <c r="I41" i="1"/>
  <c r="L41" i="1" s="1"/>
  <c r="I3" i="1"/>
  <c r="G8" i="1"/>
  <c r="G3" i="1"/>
  <c r="G6" i="1"/>
  <c r="I8" i="1" l="1"/>
  <c r="I7" i="1"/>
  <c r="H6" i="1"/>
  <c r="I6" i="1" s="1"/>
  <c r="H3" i="1"/>
  <c r="J6" i="1" l="1"/>
  <c r="J8" i="1"/>
  <c r="J3" i="1"/>
  <c r="H8" i="1"/>
  <c r="H7" i="1"/>
  <c r="C12" i="1" l="1"/>
  <c r="C14" i="1" s="1"/>
  <c r="C16" i="1" s="1"/>
  <c r="J7" i="1"/>
  <c r="C17" i="1" l="1"/>
  <c r="C18" i="1" s="1"/>
  <c r="C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Lucas López Moroño</author>
    <author>Lucas Lopez Moroño</author>
  </authors>
  <commentList>
    <comment ref="B24" authorId="0" shapeId="0" xr:uid="{3D202EF5-8F5B-4B5E-BE82-56D9EB164E68}">
      <text>
        <r>
          <rPr>
            <sz val="9"/>
            <color indexed="81"/>
            <rFont val="Tahoma"/>
            <family val="2"/>
          </rPr>
          <t xml:space="preserve">
Actualizar si se cambia la celda inferior.</t>
        </r>
      </text>
    </comment>
    <comment ref="B25" authorId="1" shapeId="0" xr:uid="{12A1134D-FD64-440C-9DAC-23D4DA1867ED}">
      <text>
        <r>
          <rPr>
            <b/>
            <sz val="9"/>
            <color indexed="81"/>
            <rFont val="Tahoma"/>
            <family val="2"/>
          </rPr>
          <t xml:space="preserve">
Año últimos resultados publicados.</t>
        </r>
      </text>
    </comment>
    <comment ref="E27" authorId="0" shapeId="0" xr:uid="{0F4CB916-E87D-4AE0-9FC5-FB552AD4DB45}">
      <text>
        <r>
          <rPr>
            <sz val="9"/>
            <color indexed="81"/>
            <rFont val="Tahoma"/>
            <family val="2"/>
          </rPr>
          <t>Coger precio de cotización medio 1  mes posterior a fecha resultados.</t>
        </r>
      </text>
    </comment>
    <comment ref="E29" authorId="0" shapeId="0" xr:uid="{D64FCF23-4AB1-4D96-80A7-BD0AFE60DBE9}">
      <text>
        <r>
          <rPr>
            <sz val="9"/>
            <color indexed="81"/>
            <rFont val="Tahoma"/>
            <family val="2"/>
          </rPr>
          <t xml:space="preserve">
Deuda neta en positivo
Caja neta en negativo.</t>
        </r>
      </text>
    </comment>
  </commentList>
</comments>
</file>

<file path=xl/sharedStrings.xml><?xml version="1.0" encoding="utf-8"?>
<sst xmlns="http://schemas.openxmlformats.org/spreadsheetml/2006/main" count="94" uniqueCount="83">
  <si>
    <t xml:space="preserve">         Nº de años</t>
  </si>
  <si>
    <t xml:space="preserve">         Nº de acciones</t>
  </si>
  <si>
    <t xml:space="preserve">  Ingresos actuales</t>
  </si>
  <si>
    <t xml:space="preserve">  Ingresos</t>
  </si>
  <si>
    <t xml:space="preserve">         Precio actual</t>
  </si>
  <si>
    <t xml:space="preserve">  Crecimiento ingresos</t>
  </si>
  <si>
    <t xml:space="preserve">  FCF</t>
  </si>
  <si>
    <t xml:space="preserve">  Ventas futuras</t>
  </si>
  <si>
    <t xml:space="preserve">         Precio deseado</t>
  </si>
  <si>
    <t xml:space="preserve">  Margen FCF</t>
  </si>
  <si>
    <t xml:space="preserve">  FCF futuro</t>
  </si>
  <si>
    <t>8y</t>
  </si>
  <si>
    <t>5y</t>
  </si>
  <si>
    <t>3y</t>
  </si>
  <si>
    <t xml:space="preserve">  Múltiplo FCF</t>
  </si>
  <si>
    <t xml:space="preserve">  Caja Generada</t>
  </si>
  <si>
    <t xml:space="preserve">   NOPAT</t>
  </si>
  <si>
    <t xml:space="preserve">  EBITDA</t>
  </si>
  <si>
    <t xml:space="preserve">  Rentabilidad total esperada</t>
  </si>
  <si>
    <t xml:space="preserve">  TIR PRECIO ACTUAL</t>
  </si>
  <si>
    <t xml:space="preserve">  TIR PRECIO DESEADO</t>
  </si>
  <si>
    <t xml:space="preserve">  EV/FCF actual</t>
  </si>
  <si>
    <t xml:space="preserve">  EV actual</t>
  </si>
  <si>
    <t xml:space="preserve">  MC actual</t>
  </si>
  <si>
    <t xml:space="preserve">  Precio</t>
  </si>
  <si>
    <t xml:space="preserve">  EV</t>
  </si>
  <si>
    <t>CELDAS A MODIFICAR</t>
  </si>
  <si>
    <t xml:space="preserve">  nº acciones</t>
  </si>
  <si>
    <t xml:space="preserve">   ROIC</t>
  </si>
  <si>
    <t xml:space="preserve">   ROIC PROMEDIO</t>
  </si>
  <si>
    <t>MÚLTIPLOS</t>
  </si>
  <si>
    <t>POTENCIAL</t>
  </si>
  <si>
    <t>Actual</t>
  </si>
  <si>
    <t>Deseado</t>
  </si>
  <si>
    <t>Promedio</t>
  </si>
  <si>
    <t>EV/FCF</t>
  </si>
  <si>
    <t>EV/EBITDA</t>
  </si>
  <si>
    <t>EV/VENTAS</t>
  </si>
  <si>
    <t xml:space="preserve">  Deuda neta</t>
  </si>
  <si>
    <t xml:space="preserve">  Deuda neta actual</t>
  </si>
  <si>
    <t>VALORACIÓN DE EMPRESAS</t>
  </si>
  <si>
    <t xml:space="preserve">  Margen EBITDA</t>
  </si>
  <si>
    <t xml:space="preserve">  EV / FCF</t>
  </si>
  <si>
    <t xml:space="preserve">  EV / EBITDA</t>
  </si>
  <si>
    <t xml:space="preserve">  EV / INGRESOS</t>
  </si>
  <si>
    <t xml:space="preserve">  Deuda / EBITDA</t>
  </si>
  <si>
    <t xml:space="preserve">  FCF / acción</t>
  </si>
  <si>
    <t xml:space="preserve">  Fecha cierre empresa</t>
  </si>
  <si>
    <t xml:space="preserve">  Ultimo año presentado</t>
  </si>
  <si>
    <t>Mes</t>
  </si>
  <si>
    <t>Año</t>
  </si>
  <si>
    <t xml:space="preserve">  Dilución acciones</t>
  </si>
  <si>
    <t>HISTÓRICO</t>
  </si>
  <si>
    <t>ROIC</t>
  </si>
  <si>
    <t>VALORACIÓN</t>
  </si>
  <si>
    <t xml:space="preserve">   Pasivo corriente</t>
  </si>
  <si>
    <t xml:space="preserve">   Deuda a corto plazo</t>
  </si>
  <si>
    <t xml:space="preserve">   Activo corriente</t>
  </si>
  <si>
    <t xml:space="preserve">   Working capital neto</t>
  </si>
  <si>
    <t xml:space="preserve">   Inmovilizado material neto</t>
  </si>
  <si>
    <t xml:space="preserve">   Otros activos operativos</t>
  </si>
  <si>
    <t xml:space="preserve">   Tesorería</t>
  </si>
  <si>
    <t xml:space="preserve">   Tesorería requerida</t>
  </si>
  <si>
    <t xml:space="preserve">   Exceso de tesorería</t>
  </si>
  <si>
    <t xml:space="preserve">   CAPITAL INVERTIDO</t>
  </si>
  <si>
    <t xml:space="preserve">  crecimiento</t>
  </si>
  <si>
    <t xml:space="preserve">  Fecha de actualización</t>
  </si>
  <si>
    <t xml:space="preserve">  margen FCF</t>
  </si>
  <si>
    <t xml:space="preserve">   Pasivo corriente sin deuda</t>
  </si>
  <si>
    <t xml:space="preserve">  Valoración futura</t>
  </si>
  <si>
    <t xml:space="preserve">         Descuento</t>
  </si>
  <si>
    <t xml:space="preserve">  Valoración actual</t>
  </si>
  <si>
    <r>
      <rPr>
        <b/>
        <u/>
        <sz val="10"/>
        <color rgb="FFFF0000"/>
        <rFont val="Arial Narrow"/>
        <family val="2"/>
      </rPr>
      <t>Versión 2.3.</t>
    </r>
    <r>
      <rPr>
        <b/>
        <sz val="10"/>
        <color rgb="FFFF0000"/>
        <rFont val="Arial Narrow"/>
        <family val="2"/>
      </rPr>
      <t xml:space="preserve"> Este documento se actualiza en microvalue de forma periódica. Comprueba que trabajas con la última versión.</t>
    </r>
  </si>
  <si>
    <t xml:space="preserve">  OCF</t>
  </si>
  <si>
    <t xml:space="preserve">  Capex</t>
  </si>
  <si>
    <t xml:space="preserve">  Stock options</t>
  </si>
  <si>
    <t xml:space="preserve">         Caída necesaria</t>
  </si>
  <si>
    <t xml:space="preserve">   Amortización contable</t>
  </si>
  <si>
    <t xml:space="preserve">   Tasa impositiva</t>
  </si>
  <si>
    <t xml:space="preserve">   EBITDA</t>
  </si>
  <si>
    <t xml:space="preserve">  Inversión I+D</t>
  </si>
  <si>
    <t xml:space="preserve">  % s/ ingresos</t>
  </si>
  <si>
    <t>OTC Markets Group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</si>
</sst>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C0A]mmm\-yy;@"/>
    <numFmt numFmtId="165" formatCode="#,##0.0"/>
    <numFmt numFmtId="166" formatCode="0.0%"/>
    <numFmt numFmtId="167" formatCode="\ \ \ 0.00"/>
    <numFmt numFmtId="168" formatCode="\ 0.0%"/>
    <numFmt numFmtId="169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b/>
      <sz val="10"/>
      <color rgb="FFFF0000"/>
      <name val="Arial Narrow"/>
      <family val="2"/>
    </font>
    <font>
      <b/>
      <u/>
      <sz val="10"/>
      <color rgb="FFFF0000"/>
      <name val="Arial Narrow"/>
      <family val="2"/>
    </font>
    <font>
      <sz val="11"/>
      <color theme="0"/>
      <name val="Arial Narrow"/>
      <family val="2"/>
    </font>
    <font>
      <b/>
      <sz val="11"/>
      <name val="Arial Narrow"/>
      <family val="2"/>
    </font>
    <font>
      <b/>
      <sz val="16"/>
      <color theme="1"/>
      <name val="Arial Narrow"/>
      <family val="2"/>
    </font>
    <font>
      <i/>
      <sz val="10"/>
      <color theme="1"/>
      <name val="Arial Narrow"/>
      <family val="2"/>
    </font>
    <font>
      <i/>
      <sz val="10"/>
      <name val="Arial Narrow"/>
      <family val="2"/>
    </font>
    <font>
      <i/>
      <sz val="11"/>
      <color theme="1"/>
      <name val="Arial Narrow"/>
      <family val="2"/>
    </font>
    <font>
      <i/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theme="0"/>
      </bottom>
      <diagonal/>
    </border>
    <border>
      <left/>
      <right/>
      <top style="thin">
        <color theme="1"/>
      </top>
      <bottom style="medium">
        <color theme="0"/>
      </bottom>
      <diagonal/>
    </border>
    <border>
      <left/>
      <right style="thin">
        <color theme="1"/>
      </right>
      <top style="thin">
        <color theme="1"/>
      </top>
      <bottom style="medium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6">
    <xf numFmtId="0" fontId="0" fillId="0" borderId="0" xfId="0"/>
    <xf numFmtId="3" fontId="4" fillId="4" borderId="5" xfId="0" applyNumberFormat="1" applyFont="1" applyFill="1" applyBorder="1" applyAlignment="1" applyProtection="1">
      <alignment horizontal="center" vertical="center"/>
      <protection locked="0"/>
    </xf>
    <xf numFmtId="3" fontId="4" fillId="4" borderId="9" xfId="0" applyNumberFormat="1" applyFont="1" applyFill="1" applyBorder="1" applyAlignment="1" applyProtection="1">
      <alignment horizontal="center" vertical="center"/>
      <protection locked="0"/>
    </xf>
    <xf numFmtId="14" fontId="10" fillId="4" borderId="18" xfId="0" applyNumberFormat="1" applyFont="1" applyFill="1" applyBorder="1" applyAlignment="1" applyProtection="1">
      <alignment horizontal="center" vertical="center"/>
      <protection locked="0"/>
    </xf>
    <xf numFmtId="166" fontId="4" fillId="4" borderId="18" xfId="0" applyNumberFormat="1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3" fontId="4" fillId="4" borderId="21" xfId="0" applyNumberFormat="1" applyFont="1" applyFill="1" applyBorder="1" applyAlignment="1" applyProtection="1">
      <alignment horizontal="center" vertical="center"/>
      <protection locked="0"/>
    </xf>
    <xf numFmtId="3" fontId="4" fillId="4" borderId="2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4" fillId="2" borderId="21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horizontal="center" vertical="center"/>
    </xf>
    <xf numFmtId="165" fontId="4" fillId="2" borderId="0" xfId="0" applyNumberFormat="1" applyFont="1" applyFill="1" applyAlignment="1">
      <alignment vertical="center"/>
    </xf>
    <xf numFmtId="166" fontId="4" fillId="2" borderId="0" xfId="0" applyNumberFormat="1" applyFont="1" applyFill="1" applyAlignment="1">
      <alignment horizontal="center" vertical="center"/>
    </xf>
    <xf numFmtId="0" fontId="6" fillId="2" borderId="21" xfId="0" applyFont="1" applyFill="1" applyBorder="1" applyAlignment="1">
      <alignment vertical="center"/>
    </xf>
    <xf numFmtId="3" fontId="4" fillId="2" borderId="21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vertical="center"/>
    </xf>
    <xf numFmtId="165" fontId="6" fillId="2" borderId="4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9" fontId="5" fillId="3" borderId="13" xfId="1" applyFont="1" applyFill="1" applyBorder="1" applyAlignment="1" applyProtection="1">
      <alignment horizontal="center" vertical="center"/>
    </xf>
    <xf numFmtId="9" fontId="5" fillId="3" borderId="5" xfId="0" applyNumberFormat="1" applyFont="1" applyFill="1" applyBorder="1" applyAlignment="1">
      <alignment horizontal="center" vertical="center"/>
    </xf>
    <xf numFmtId="9" fontId="5" fillId="3" borderId="9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vertical="center"/>
    </xf>
    <xf numFmtId="165" fontId="4" fillId="2" borderId="24" xfId="0" applyNumberFormat="1" applyFont="1" applyFill="1" applyBorder="1" applyAlignment="1">
      <alignment vertical="center"/>
    </xf>
    <xf numFmtId="9" fontId="5" fillId="3" borderId="0" xfId="0" applyNumberFormat="1" applyFont="1" applyFill="1" applyAlignment="1">
      <alignment horizontal="center" vertical="center"/>
    </xf>
    <xf numFmtId="9" fontId="5" fillId="3" borderId="7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Alignment="1">
      <alignment horizontal="center" vertical="center"/>
    </xf>
    <xf numFmtId="165" fontId="6" fillId="2" borderId="0" xfId="0" applyNumberFormat="1" applyFont="1" applyFill="1" applyAlignment="1">
      <alignment horizontal="center" vertical="center"/>
    </xf>
    <xf numFmtId="165" fontId="6" fillId="2" borderId="21" xfId="0" applyNumberFormat="1" applyFont="1" applyFill="1" applyBorder="1" applyAlignment="1">
      <alignment vertical="center"/>
    </xf>
    <xf numFmtId="3" fontId="6" fillId="2" borderId="0" xfId="0" applyNumberFormat="1" applyFont="1" applyFill="1" applyAlignment="1">
      <alignment horizontal="center" vertical="center"/>
    </xf>
    <xf numFmtId="165" fontId="6" fillId="2" borderId="0" xfId="0" applyNumberFormat="1" applyFont="1" applyFill="1" applyAlignment="1">
      <alignment horizontal="left" vertical="center"/>
    </xf>
    <xf numFmtId="9" fontId="6" fillId="2" borderId="0" xfId="1" applyFont="1" applyFill="1" applyBorder="1" applyAlignment="1" applyProtection="1">
      <alignment horizontal="center" vertical="center"/>
    </xf>
    <xf numFmtId="9" fontId="6" fillId="2" borderId="7" xfId="1" applyFont="1" applyFill="1" applyBorder="1" applyAlignment="1" applyProtection="1">
      <alignment horizontal="center" vertical="center"/>
    </xf>
    <xf numFmtId="9" fontId="5" fillId="3" borderId="6" xfId="0" applyNumberFormat="1" applyFont="1" applyFill="1" applyBorder="1" applyAlignment="1">
      <alignment horizontal="center" vertical="center"/>
    </xf>
    <xf numFmtId="9" fontId="5" fillId="3" borderId="12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166" fontId="6" fillId="2" borderId="0" xfId="1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>
      <alignment vertical="center"/>
    </xf>
    <xf numFmtId="166" fontId="5" fillId="3" borderId="12" xfId="1" applyNumberFormat="1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>
      <alignment horizontal="left" vertical="center"/>
    </xf>
    <xf numFmtId="1" fontId="4" fillId="2" borderId="21" xfId="0" applyNumberFormat="1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14" fontId="10" fillId="2" borderId="0" xfId="0" applyNumberFormat="1" applyFont="1" applyFill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7" xfId="0" applyFont="1" applyFill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165" fontId="6" fillId="2" borderId="7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Alignment="1">
      <alignment horizontal="center" vertical="center"/>
    </xf>
    <xf numFmtId="165" fontId="5" fillId="3" borderId="7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vertical="center"/>
    </xf>
    <xf numFmtId="1" fontId="5" fillId="3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left" vertical="center"/>
    </xf>
    <xf numFmtId="165" fontId="6" fillId="2" borderId="5" xfId="0" applyNumberFormat="1" applyFont="1" applyFill="1" applyBorder="1" applyAlignment="1">
      <alignment horizontal="center" vertical="center"/>
    </xf>
    <xf numFmtId="165" fontId="6" fillId="2" borderId="25" xfId="0" applyNumberFormat="1" applyFont="1" applyFill="1" applyBorder="1" applyAlignment="1">
      <alignment horizontal="center" vertical="center"/>
    </xf>
    <xf numFmtId="9" fontId="6" fillId="2" borderId="5" xfId="1" applyFont="1" applyFill="1" applyBorder="1" applyAlignment="1" applyProtection="1">
      <alignment horizontal="center" vertical="center"/>
    </xf>
    <xf numFmtId="9" fontId="10" fillId="2" borderId="5" xfId="1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>
      <alignment horizontal="left" vertical="center"/>
    </xf>
    <xf numFmtId="165" fontId="6" fillId="2" borderId="26" xfId="0" applyNumberFormat="1" applyFont="1" applyFill="1" applyBorder="1" applyAlignment="1">
      <alignment horizontal="center" vertical="center"/>
    </xf>
    <xf numFmtId="9" fontId="10" fillId="2" borderId="0" xfId="1" applyFont="1" applyFill="1" applyBorder="1" applyAlignment="1" applyProtection="1">
      <alignment horizontal="center" vertical="center"/>
    </xf>
    <xf numFmtId="0" fontId="11" fillId="2" borderId="0" xfId="0" applyFont="1" applyFill="1" applyAlignment="1">
      <alignment vertical="center"/>
    </xf>
    <xf numFmtId="9" fontId="5" fillId="3" borderId="14" xfId="1" applyFont="1" applyFill="1" applyBorder="1" applyAlignment="1" applyProtection="1">
      <alignment horizontal="center" vertical="center"/>
    </xf>
    <xf numFmtId="3" fontId="6" fillId="2" borderId="21" xfId="0" applyNumberFormat="1" applyFont="1" applyFill="1" applyBorder="1" applyAlignment="1">
      <alignment horizontal="center" vertical="center"/>
    </xf>
    <xf numFmtId="164" fontId="10" fillId="4" borderId="18" xfId="0" applyNumberFormat="1" applyFont="1" applyFill="1" applyBorder="1" applyAlignment="1" applyProtection="1">
      <alignment horizontal="center" vertical="center"/>
      <protection locked="0"/>
    </xf>
    <xf numFmtId="0" fontId="10" fillId="4" borderId="18" xfId="0" applyFont="1" applyFill="1" applyBorder="1" applyAlignment="1" applyProtection="1">
      <alignment vertical="center"/>
      <protection locked="0"/>
    </xf>
    <xf numFmtId="167" fontId="10" fillId="4" borderId="19" xfId="0" applyNumberFormat="1" applyFont="1" applyFill="1" applyBorder="1" applyAlignment="1" applyProtection="1">
      <alignment horizontal="left" vertical="center"/>
      <protection locked="0"/>
    </xf>
    <xf numFmtId="17" fontId="4" fillId="2" borderId="0" xfId="0" applyNumberFormat="1" applyFont="1" applyFill="1" applyAlignment="1">
      <alignment horizontal="left" vertical="center"/>
    </xf>
    <xf numFmtId="1" fontId="10" fillId="4" borderId="18" xfId="0" applyNumberFormat="1" applyFont="1" applyFill="1" applyBorder="1" applyAlignment="1" applyProtection="1">
      <alignment horizontal="center" vertical="center"/>
      <protection locked="0"/>
    </xf>
    <xf numFmtId="1" fontId="4" fillId="2" borderId="0" xfId="0" applyNumberFormat="1" applyFont="1" applyFill="1" applyAlignment="1">
      <alignment vertical="center"/>
    </xf>
    <xf numFmtId="166" fontId="5" fillId="3" borderId="15" xfId="0" applyNumberFormat="1" applyFont="1" applyFill="1" applyBorder="1" applyAlignment="1">
      <alignment horizontal="center" vertical="center"/>
    </xf>
    <xf numFmtId="166" fontId="5" fillId="3" borderId="13" xfId="0" applyNumberFormat="1" applyFont="1" applyFill="1" applyBorder="1" applyAlignment="1">
      <alignment horizontal="center" vertical="center"/>
    </xf>
    <xf numFmtId="166" fontId="5" fillId="3" borderId="14" xfId="0" applyNumberFormat="1" applyFont="1" applyFill="1" applyBorder="1" applyAlignment="1">
      <alignment horizontal="center" vertical="center"/>
    </xf>
    <xf numFmtId="9" fontId="6" fillId="2" borderId="22" xfId="1" applyFont="1" applyFill="1" applyBorder="1" applyAlignment="1">
      <alignment horizontal="center" vertical="center"/>
    </xf>
    <xf numFmtId="9" fontId="6" fillId="2" borderId="22" xfId="1" applyFont="1" applyFill="1" applyBorder="1" applyAlignment="1" applyProtection="1">
      <alignment horizontal="center" vertical="center"/>
    </xf>
    <xf numFmtId="0" fontId="12" fillId="2" borderId="22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0" xfId="0" applyFont="1" applyFill="1" applyAlignment="1">
      <alignment vertical="center"/>
    </xf>
    <xf numFmtId="1" fontId="5" fillId="3" borderId="29" xfId="0" applyNumberFormat="1" applyFont="1" applyFill="1" applyBorder="1" applyAlignment="1">
      <alignment horizontal="center" vertical="center"/>
    </xf>
    <xf numFmtId="164" fontId="5" fillId="3" borderId="30" xfId="0" applyNumberFormat="1" applyFont="1" applyFill="1" applyBorder="1" applyAlignment="1">
      <alignment horizontal="center" vertical="center"/>
    </xf>
    <xf numFmtId="164" fontId="5" fillId="3" borderId="31" xfId="0" applyNumberFormat="1" applyFont="1" applyFill="1" applyBorder="1" applyAlignment="1">
      <alignment horizontal="center" vertical="center"/>
    </xf>
    <xf numFmtId="9" fontId="10" fillId="2" borderId="13" xfId="1" applyFont="1" applyFill="1" applyBorder="1" applyAlignment="1" applyProtection="1">
      <alignment horizontal="center" vertical="center"/>
    </xf>
    <xf numFmtId="0" fontId="13" fillId="2" borderId="23" xfId="0" applyFont="1" applyFill="1" applyBorder="1" applyAlignment="1">
      <alignment vertical="center"/>
    </xf>
    <xf numFmtId="9" fontId="10" fillId="2" borderId="23" xfId="1" applyFont="1" applyFill="1" applyBorder="1" applyAlignment="1" applyProtection="1">
      <alignment horizontal="center" vertical="center"/>
    </xf>
    <xf numFmtId="3" fontId="4" fillId="4" borderId="8" xfId="0" applyNumberFormat="1" applyFont="1" applyFill="1" applyBorder="1" applyAlignment="1" applyProtection="1">
      <alignment horizontal="center" vertical="center"/>
      <protection locked="0"/>
    </xf>
    <xf numFmtId="9" fontId="4" fillId="2" borderId="0" xfId="1" applyFont="1" applyFill="1" applyBorder="1" applyAlignment="1" applyProtection="1">
      <alignment horizontal="center" vertical="center"/>
    </xf>
    <xf numFmtId="165" fontId="4" fillId="4" borderId="0" xfId="0" applyNumberFormat="1" applyFont="1" applyFill="1" applyAlignment="1" applyProtection="1">
      <alignment horizontal="center" vertical="center"/>
      <protection locked="0"/>
    </xf>
    <xf numFmtId="165" fontId="4" fillId="2" borderId="0" xfId="0" applyNumberFormat="1" applyFont="1" applyFill="1" applyAlignment="1">
      <alignment horizontal="center" vertical="center"/>
    </xf>
    <xf numFmtId="168" fontId="10" fillId="2" borderId="0" xfId="1" applyNumberFormat="1" applyFont="1" applyFill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9" fontId="15" fillId="2" borderId="0" xfId="0" applyNumberFormat="1" applyFont="1" applyFill="1" applyAlignment="1">
      <alignment horizontal="center" vertical="center"/>
    </xf>
    <xf numFmtId="9" fontId="15" fillId="2" borderId="7" xfId="0" applyNumberFormat="1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vertical="center"/>
    </xf>
    <xf numFmtId="3" fontId="6" fillId="4" borderId="21" xfId="0" applyNumberFormat="1" applyFont="1" applyFill="1" applyBorder="1" applyAlignment="1" applyProtection="1">
      <alignment horizontal="center" vertical="center"/>
      <protection locked="0"/>
    </xf>
    <xf numFmtId="166" fontId="6" fillId="2" borderId="0" xfId="1" applyNumberFormat="1" applyFont="1" applyFill="1" applyAlignment="1" applyProtection="1">
      <alignment horizontal="center" vertical="center"/>
    </xf>
    <xf numFmtId="9" fontId="4" fillId="4" borderId="0" xfId="1" applyFont="1" applyFill="1" applyAlignment="1" applyProtection="1">
      <alignment horizontal="center" vertical="center"/>
      <protection locked="0"/>
    </xf>
    <xf numFmtId="165" fontId="4" fillId="4" borderId="7" xfId="0" applyNumberFormat="1" applyFont="1" applyFill="1" applyBorder="1" applyAlignment="1" applyProtection="1">
      <alignment horizontal="center" vertical="center"/>
      <protection locked="0"/>
    </xf>
    <xf numFmtId="165" fontId="4" fillId="4" borderId="21" xfId="0" applyNumberFormat="1" applyFont="1" applyFill="1" applyBorder="1" applyAlignment="1" applyProtection="1">
      <alignment horizontal="center" vertical="center"/>
      <protection locked="0"/>
    </xf>
    <xf numFmtId="165" fontId="4" fillId="4" borderId="27" xfId="0" applyNumberFormat="1" applyFont="1" applyFill="1" applyBorder="1" applyAlignment="1" applyProtection="1">
      <alignment horizontal="center" vertical="center"/>
      <protection locked="0"/>
    </xf>
    <xf numFmtId="165" fontId="14" fillId="5" borderId="0" xfId="0" applyNumberFormat="1" applyFont="1" applyFill="1" applyAlignment="1" applyProtection="1">
      <alignment horizontal="center" vertical="center"/>
      <protection locked="0"/>
    </xf>
    <xf numFmtId="165" fontId="14" fillId="5" borderId="7" xfId="0" applyNumberFormat="1" applyFont="1" applyFill="1" applyBorder="1" applyAlignment="1" applyProtection="1">
      <alignment horizontal="center" vertical="center"/>
      <protection locked="0"/>
    </xf>
    <xf numFmtId="165" fontId="14" fillId="5" borderId="21" xfId="0" applyNumberFormat="1" applyFont="1" applyFill="1" applyBorder="1" applyAlignment="1" applyProtection="1">
      <alignment horizontal="center" vertical="center"/>
      <protection locked="0"/>
    </xf>
    <xf numFmtId="165" fontId="14" fillId="5" borderId="27" xfId="0" applyNumberFormat="1" applyFont="1" applyFill="1" applyBorder="1" applyAlignment="1" applyProtection="1">
      <alignment horizontal="center" vertical="center"/>
      <protection locked="0"/>
    </xf>
    <xf numFmtId="165" fontId="6" fillId="4" borderId="21" xfId="0" applyNumberFormat="1" applyFont="1" applyFill="1" applyBorder="1" applyAlignment="1" applyProtection="1">
      <alignment horizontal="center" vertical="center"/>
      <protection locked="0"/>
    </xf>
    <xf numFmtId="165" fontId="6" fillId="4" borderId="27" xfId="0" applyNumberFormat="1" applyFont="1" applyFill="1" applyBorder="1" applyAlignment="1" applyProtection="1">
      <alignment horizontal="center" vertical="center"/>
      <protection locked="0"/>
    </xf>
    <xf numFmtId="169" fontId="4" fillId="2" borderId="21" xfId="0" applyNumberFormat="1" applyFont="1" applyFill="1" applyBorder="1" applyAlignment="1">
      <alignment horizontal="center" vertical="center"/>
    </xf>
    <xf numFmtId="169" fontId="4" fillId="2" borderId="27" xfId="0" applyNumberFormat="1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165" fontId="5" fillId="3" borderId="14" xfId="0" applyNumberFormat="1" applyFont="1" applyFill="1" applyBorder="1" applyAlignment="1">
      <alignment horizontal="center" vertical="center"/>
    </xf>
    <xf numFmtId="165" fontId="4" fillId="2" borderId="21" xfId="0" applyNumberFormat="1" applyFont="1" applyFill="1" applyBorder="1" applyAlignment="1">
      <alignment horizontal="center" vertical="center"/>
    </xf>
    <xf numFmtId="4" fontId="4" fillId="4" borderId="6" xfId="0" applyNumberFormat="1" applyFont="1" applyFill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2">
    <dxf>
      <font>
        <color rgb="FFC00000"/>
      </font>
      <fill>
        <patternFill>
          <bgColor theme="0"/>
        </patternFill>
      </fill>
    </dxf>
    <dxf>
      <font>
        <color theme="9" tint="-0.499984740745262"/>
      </font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280146</xdr:colOff>
      <xdr:row>29</xdr:row>
      <xdr:rowOff>89647</xdr:rowOff>
    </xdr:from>
    <xdr:to>
      <xdr:col>2</xdr:col>
      <xdr:colOff>762000</xdr:colOff>
      <xdr:row>32</xdr:row>
      <xdr:rowOff>52294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E3486EE-6326-477F-AAC0-227736CDD7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6" y="5662706"/>
          <a:ext cx="2670736" cy="5229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B66E7-D5B7-489A-BD2C-E9DB1C364B25}">
  <sheetPr>
    <tabColor theme="1"/>
  </sheetPr>
  <dimension ref="B1:AJ42"/>
  <sheetViews>
    <sheetView tabSelected="1" zoomScale="85" zoomScaleNormal="85" workbookViewId="0">
      <selection activeCell="G8" sqref="G8"/>
    </sheetView>
  </sheetViews>
  <sheetFormatPr baseColWidth="10" defaultColWidth="11.453125" defaultRowHeight="14" x14ac:dyDescent="0.35"/>
  <cols>
    <col min="1" max="1" width="4.453125" style="8" customWidth="1"/>
    <col min="2" max="2" width="26.81640625" style="8" bestFit="1" customWidth="1"/>
    <col min="3" max="3" width="11.54296875" style="8" bestFit="1" customWidth="1"/>
    <col min="4" max="4" width="6.54296875" style="8" customWidth="1"/>
    <col min="5" max="5" width="14.81640625" style="8" customWidth="1"/>
    <col min="6" max="15" width="11.54296875" style="8" bestFit="1" customWidth="1"/>
    <col min="16" max="16" width="9.26953125" style="8" bestFit="1" customWidth="1"/>
    <col min="17" max="17" width="9.7265625" style="8" customWidth="1"/>
    <col min="18" max="18" width="6.54296875" style="8" customWidth="1"/>
    <col min="19" max="19" width="25.453125" style="8" customWidth="1"/>
    <col min="20" max="24" width="11.54296875" style="8" bestFit="1" customWidth="1"/>
    <col min="25" max="28" width="0" style="8" hidden="1" customWidth="1"/>
    <col min="29" max="16384" width="11.453125" style="8"/>
  </cols>
  <sheetData>
    <row r="1" spans="2:29" ht="14.5" thickBot="1" x14ac:dyDescent="0.4">
      <c r="B1" s="96"/>
    </row>
    <row r="2" spans="2:29" ht="16.5" customHeight="1" thickBot="1" x14ac:dyDescent="0.4">
      <c r="B2" s="85" t="s">
        <v>82</v>
      </c>
      <c r="C2" s="84"/>
      <c r="D2" s="9"/>
      <c r="E2" s="10" t="s">
        <v>54</v>
      </c>
      <c r="F2" s="11">
        <f>N10+366</f>
        <v>44897</v>
      </c>
      <c r="G2" s="11">
        <f>F2+365</f>
        <v>45262</v>
      </c>
      <c r="H2" s="11">
        <f t="shared" ref="H2:I2" si="0">G2+365</f>
        <v>45627</v>
      </c>
      <c r="I2" s="11">
        <f t="shared" si="0"/>
        <v>45992</v>
      </c>
      <c r="J2" s="12">
        <f>I2+368</f>
        <v>46360</v>
      </c>
      <c r="L2" s="13" t="s">
        <v>0</v>
      </c>
      <c r="M2" s="14"/>
      <c r="N2" s="103">
        <v>5</v>
      </c>
      <c r="P2" s="80" t="s">
        <v>40</v>
      </c>
    </row>
    <row r="3" spans="2:29" x14ac:dyDescent="0.35">
      <c r="B3" s="16"/>
      <c r="C3" s="17"/>
      <c r="D3" s="9"/>
      <c r="E3" s="94" t="s">
        <v>65</v>
      </c>
      <c r="F3" s="92">
        <f>IF(F4="","",(F4-N12)/N12)</f>
        <v>0.15920123565754626</v>
      </c>
      <c r="G3" s="93">
        <f>IF(G4="","",(G4-F4)/F4)</f>
        <v>3.2549728752260414E-2</v>
      </c>
      <c r="H3" s="93">
        <f t="shared" ref="H3:J3" si="1">IF(H4="","",(H4-G4)/G4)</f>
        <v>3.8713245460411126E-2</v>
      </c>
      <c r="I3" s="93">
        <f t="shared" si="1"/>
        <v>7.0000000000000007E-2</v>
      </c>
      <c r="J3" s="93">
        <f t="shared" si="1"/>
        <v>6.9999999999999923E-2</v>
      </c>
      <c r="L3" s="18" t="s">
        <v>70</v>
      </c>
      <c r="M3" s="19"/>
      <c r="N3" s="104">
        <v>0.09</v>
      </c>
      <c r="O3" s="15"/>
    </row>
    <row r="4" spans="2:29" ht="17.25" customHeight="1" thickBot="1" x14ac:dyDescent="0.4">
      <c r="B4" s="20" t="s">
        <v>2</v>
      </c>
      <c r="C4" s="21">
        <f>IF(N12="","",N12)</f>
        <v>90.64</v>
      </c>
      <c r="D4" s="22"/>
      <c r="E4" s="20" t="s">
        <v>3</v>
      </c>
      <c r="F4" s="105">
        <v>105.07</v>
      </c>
      <c r="G4" s="105">
        <v>108.49</v>
      </c>
      <c r="H4" s="105">
        <v>112.69</v>
      </c>
      <c r="I4" s="105">
        <f>IF($C$5="","",IF($N$2&gt;3.5,H4+H4*$C$5,""))</f>
        <v>120.5783</v>
      </c>
      <c r="J4" s="105">
        <f>IF($C$5="","",IF($N$2&gt;4.5,I4+I4*$C$5,""))</f>
        <v>129.01878099999999</v>
      </c>
      <c r="L4" s="18" t="s">
        <v>1</v>
      </c>
      <c r="M4" s="19"/>
      <c r="N4" s="106">
        <f>IF($N$35="","",$N$35)</f>
        <v>11.81</v>
      </c>
      <c r="P4" s="15" t="s">
        <v>72</v>
      </c>
      <c r="Q4" s="80"/>
      <c r="R4" s="80"/>
      <c r="T4" s="80"/>
      <c r="U4" s="80"/>
      <c r="V4" s="80"/>
      <c r="W4" s="80"/>
      <c r="X4" s="80"/>
    </row>
    <row r="5" spans="2:29" ht="18.75" customHeight="1" thickBot="1" x14ac:dyDescent="0.4">
      <c r="B5" s="20" t="s">
        <v>5</v>
      </c>
      <c r="C5" s="4">
        <v>7.0000000000000007E-2</v>
      </c>
      <c r="D5" s="23"/>
      <c r="E5" s="20" t="s">
        <v>6</v>
      </c>
      <c r="F5" s="105">
        <v>29.75</v>
      </c>
      <c r="G5" s="105">
        <v>41.17</v>
      </c>
      <c r="H5" s="105">
        <v>40.770000000000003</v>
      </c>
      <c r="I5" s="105">
        <f>IF(I4="","",IF($N$2&gt;3.5,I4*$C$8))</f>
        <v>39.790838999999998</v>
      </c>
      <c r="J5" s="105">
        <f>IF(J4="","",IF($N$2&gt;4.5,J4*$C$8))</f>
        <v>42.576197729999997</v>
      </c>
      <c r="L5" s="18" t="s">
        <v>4</v>
      </c>
      <c r="M5" s="19"/>
      <c r="N5" s="105">
        <v>57.04</v>
      </c>
      <c r="P5" s="80"/>
      <c r="Q5" s="80"/>
      <c r="R5" s="80"/>
      <c r="S5" s="80"/>
      <c r="T5" s="80"/>
      <c r="U5" s="80"/>
      <c r="V5" s="80"/>
      <c r="W5" s="80"/>
      <c r="X5" s="80"/>
    </row>
    <row r="6" spans="2:29" ht="17.25" customHeight="1" thickBot="1" x14ac:dyDescent="0.4">
      <c r="B6" s="20" t="s">
        <v>51</v>
      </c>
      <c r="C6" s="4">
        <v>0.01</v>
      </c>
      <c r="D6" s="22"/>
      <c r="E6" s="24" t="s">
        <v>27</v>
      </c>
      <c r="F6" s="130">
        <f>IF(F4="","",N35*(1+$C$6))</f>
        <v>11.928100000000001</v>
      </c>
      <c r="G6" s="130">
        <f>IF(G4="","",F6*(1+$C$6))</f>
        <v>12.047381000000001</v>
      </c>
      <c r="H6" s="130">
        <f t="shared" ref="H6:J6" si="2">IF(H4="","",G6*(1+$C$6))</f>
        <v>12.167854810000001</v>
      </c>
      <c r="I6" s="130">
        <f t="shared" si="2"/>
        <v>12.289533358100002</v>
      </c>
      <c r="J6" s="130">
        <f t="shared" si="2"/>
        <v>12.412428691681002</v>
      </c>
      <c r="L6" s="28" t="s">
        <v>8</v>
      </c>
      <c r="M6" s="29"/>
      <c r="N6" s="131">
        <v>49.2</v>
      </c>
      <c r="S6" s="80"/>
      <c r="T6" s="80"/>
      <c r="U6" s="80"/>
      <c r="V6" s="80"/>
      <c r="W6" s="80"/>
      <c r="X6" s="80"/>
      <c r="AA6" s="8" t="s">
        <v>49</v>
      </c>
      <c r="AB6" s="8" t="s">
        <v>50</v>
      </c>
    </row>
    <row r="7" spans="2:29" ht="14.5" thickBot="1" x14ac:dyDescent="0.4">
      <c r="B7" s="20" t="s">
        <v>7</v>
      </c>
      <c r="C7" s="21">
        <f>IF($F$4="","",J4)</f>
        <v>129.01878099999999</v>
      </c>
      <c r="D7" s="23"/>
      <c r="E7" s="26" t="s">
        <v>42</v>
      </c>
      <c r="F7" s="27">
        <f>IF(F4="","",($N$5*$N$4+$C$11-F5)/F5)</f>
        <v>20.502601680672274</v>
      </c>
      <c r="G7" s="27">
        <f>IF(G4="","",($N$5*$N$4+$C$11-F5-G5)/G5)</f>
        <v>13.81545785766335</v>
      </c>
      <c r="H7" s="27">
        <f>IF(H4="","",($N$5*$N$4+$C$11-F5-G5-H5)/H5)</f>
        <v>12.951003188619087</v>
      </c>
      <c r="I7" s="27">
        <f>IF(I4="","",($N$5*$N$4+$C$11-F5-G5-H5-I5)/I5)</f>
        <v>12.269697580390305</v>
      </c>
      <c r="J7" s="27">
        <f>IF(J4="","",($N$5*$N$4+$C$11-F5-G5-H5-I5-J5)/J5)</f>
        <v>10.467007084476922</v>
      </c>
      <c r="L7" s="28" t="s">
        <v>76</v>
      </c>
      <c r="M7" s="29"/>
      <c r="N7" s="107">
        <f>IF(N6="","",(N6-N5)/N5)</f>
        <v>-0.13744740532959321</v>
      </c>
      <c r="AA7" s="86">
        <f>DATE($C$25,1,1)</f>
        <v>44197</v>
      </c>
      <c r="AB7" s="30">
        <f>AB9-1</f>
        <v>2014</v>
      </c>
      <c r="AC7" s="88"/>
    </row>
    <row r="8" spans="2:29" ht="14.5" thickBot="1" x14ac:dyDescent="0.4">
      <c r="B8" s="20" t="s">
        <v>9</v>
      </c>
      <c r="C8" s="4">
        <v>0.33</v>
      </c>
      <c r="D8" s="23"/>
      <c r="E8" s="96" t="s">
        <v>67</v>
      </c>
      <c r="F8" s="115">
        <f>IF(F5="","",(F5/F4))</f>
        <v>0.28314457028647572</v>
      </c>
      <c r="G8" s="115">
        <f t="shared" ref="G8:J8" si="3">IF(G5="","",(G5/G4))</f>
        <v>0.37948197990598215</v>
      </c>
      <c r="H8" s="115">
        <f t="shared" si="3"/>
        <v>0.36178897861389658</v>
      </c>
      <c r="I8" s="115">
        <f t="shared" si="3"/>
        <v>0.33</v>
      </c>
      <c r="J8" s="115">
        <f t="shared" si="3"/>
        <v>0.33</v>
      </c>
      <c r="L8" s="20"/>
      <c r="O8" s="20"/>
      <c r="AA8" s="86"/>
      <c r="AB8" s="30"/>
      <c r="AC8" s="88"/>
    </row>
    <row r="9" spans="2:29" ht="14.5" thickBot="1" x14ac:dyDescent="0.4">
      <c r="B9" s="20" t="s">
        <v>10</v>
      </c>
      <c r="C9" s="21">
        <f>IF($C$7="","",C7*C8)</f>
        <v>42.576197729999997</v>
      </c>
      <c r="D9" s="22"/>
      <c r="AA9" s="86">
        <f>DATE($C$25,2,1)</f>
        <v>44228</v>
      </c>
      <c r="AB9" s="30">
        <f t="shared" ref="AB9:AB10" si="4">AB10-1</f>
        <v>2015</v>
      </c>
      <c r="AC9" s="88"/>
    </row>
    <row r="10" spans="2:29" ht="14.5" thickBot="1" x14ac:dyDescent="0.4">
      <c r="B10" s="20" t="s">
        <v>14</v>
      </c>
      <c r="C10" s="5">
        <v>25</v>
      </c>
      <c r="D10" s="30"/>
      <c r="E10" s="97" t="s">
        <v>52</v>
      </c>
      <c r="F10" s="98">
        <f t="shared" ref="F10:M10" si="5">G10-365</f>
        <v>41611</v>
      </c>
      <c r="G10" s="98">
        <f t="shared" si="5"/>
        <v>41976</v>
      </c>
      <c r="H10" s="98">
        <f t="shared" si="5"/>
        <v>42341</v>
      </c>
      <c r="I10" s="98">
        <f t="shared" si="5"/>
        <v>42706</v>
      </c>
      <c r="J10" s="98">
        <f t="shared" si="5"/>
        <v>43071</v>
      </c>
      <c r="K10" s="98">
        <f t="shared" si="5"/>
        <v>43436</v>
      </c>
      <c r="L10" s="98">
        <f t="shared" si="5"/>
        <v>43801</v>
      </c>
      <c r="M10" s="98">
        <f t="shared" si="5"/>
        <v>44166</v>
      </c>
      <c r="N10" s="98">
        <f>$C$24</f>
        <v>44531</v>
      </c>
      <c r="O10" s="98" t="s">
        <v>11</v>
      </c>
      <c r="P10" s="98" t="s">
        <v>12</v>
      </c>
      <c r="Q10" s="99" t="s">
        <v>13</v>
      </c>
      <c r="S10" s="10" t="s">
        <v>53</v>
      </c>
      <c r="T10" s="11">
        <f>J10</f>
        <v>43071</v>
      </c>
      <c r="U10" s="11">
        <f>K10</f>
        <v>43436</v>
      </c>
      <c r="V10" s="11">
        <f>L10</f>
        <v>43801</v>
      </c>
      <c r="W10" s="11">
        <f>M10</f>
        <v>44166</v>
      </c>
      <c r="X10" s="12">
        <f>N10</f>
        <v>44531</v>
      </c>
      <c r="AA10" s="86">
        <f>DATE($C$25,3,1)</f>
        <v>44256</v>
      </c>
      <c r="AB10" s="30">
        <f t="shared" si="4"/>
        <v>2016</v>
      </c>
      <c r="AC10" s="88"/>
    </row>
    <row r="11" spans="2:29" ht="14.5" thickBot="1" x14ac:dyDescent="0.4">
      <c r="B11" s="20" t="s">
        <v>39</v>
      </c>
      <c r="C11" s="21">
        <f>IF($N$27="","",$N$29)</f>
        <v>-33.94</v>
      </c>
      <c r="D11" s="22"/>
      <c r="E11" s="101" t="s">
        <v>65</v>
      </c>
      <c r="F11" s="102"/>
      <c r="G11" s="102">
        <f t="shared" ref="G11:N11" si="6">IF(F12="","",(G12-F12)/F12)</f>
        <v>0.18400713436385249</v>
      </c>
      <c r="H11" s="102">
        <f t="shared" si="6"/>
        <v>0.19332161687170482</v>
      </c>
      <c r="I11" s="102">
        <f t="shared" si="6"/>
        <v>2.1880917315379743E-2</v>
      </c>
      <c r="J11" s="102">
        <f t="shared" si="6"/>
        <v>7.4325715462219472E-2</v>
      </c>
      <c r="K11" s="102">
        <f t="shared" si="6"/>
        <v>8.202376389421237E-2</v>
      </c>
      <c r="L11" s="102">
        <f t="shared" si="6"/>
        <v>5.5614594403117258E-2</v>
      </c>
      <c r="M11" s="102">
        <f t="shared" si="6"/>
        <v>9.7315436241610806E-2</v>
      </c>
      <c r="N11" s="102">
        <f t="shared" si="6"/>
        <v>0.38593272171253812</v>
      </c>
      <c r="O11" s="100"/>
      <c r="P11" s="100"/>
      <c r="Q11" s="100"/>
      <c r="R11" s="9"/>
      <c r="AA11" s="86">
        <f>DATE($C$25,4,1)</f>
        <v>44287</v>
      </c>
      <c r="AB11" s="30">
        <f>AB12-1</f>
        <v>2017</v>
      </c>
      <c r="AC11" s="88"/>
    </row>
    <row r="12" spans="2:29" x14ac:dyDescent="0.35">
      <c r="B12" s="24" t="s">
        <v>15</v>
      </c>
      <c r="C12" s="25">
        <f>IF($N$5="","",IF($N$2=0,0,SUM($F$5:$J$5)))</f>
        <v>194.05703672999999</v>
      </c>
      <c r="D12" s="22"/>
      <c r="E12" s="20" t="s">
        <v>3</v>
      </c>
      <c r="F12" s="105">
        <v>33.64</v>
      </c>
      <c r="G12" s="105">
        <v>39.83</v>
      </c>
      <c r="H12" s="105">
        <v>47.53</v>
      </c>
      <c r="I12" s="105">
        <v>48.57</v>
      </c>
      <c r="J12" s="105">
        <v>52.18</v>
      </c>
      <c r="K12" s="105">
        <v>56.46</v>
      </c>
      <c r="L12" s="105">
        <v>59.6</v>
      </c>
      <c r="M12" s="105">
        <v>65.400000000000006</v>
      </c>
      <c r="N12" s="117">
        <v>90.64</v>
      </c>
      <c r="O12" s="33">
        <f>IF(N12="","",(N12/F12)^(1/8)-1)</f>
        <v>0.13189981442007293</v>
      </c>
      <c r="P12" s="33">
        <f>IF(N12="","",(N12/I12)^(1/5)-1)</f>
        <v>0.13289682241834244</v>
      </c>
      <c r="Q12" s="34">
        <f>IF(N12="","",(N12/K12)^(1/3)-1)</f>
        <v>0.17091761916318915</v>
      </c>
      <c r="S12" s="8" t="s">
        <v>79</v>
      </c>
      <c r="T12" s="106">
        <f>IF(J13="","",J13)</f>
        <v>19.670000000000002</v>
      </c>
      <c r="U12" s="106">
        <f t="shared" ref="U12:X12" si="7">IF(K13="","",K13)</f>
        <v>20.69</v>
      </c>
      <c r="V12" s="106">
        <f t="shared" si="7"/>
        <v>19.37</v>
      </c>
      <c r="W12" s="106">
        <f t="shared" si="7"/>
        <v>23.2</v>
      </c>
      <c r="X12" s="106">
        <f t="shared" si="7"/>
        <v>39.81</v>
      </c>
      <c r="AA12" s="86">
        <f>DATE($C$25,5,1)</f>
        <v>44317</v>
      </c>
      <c r="AB12" s="30">
        <v>2018</v>
      </c>
      <c r="AC12" s="88"/>
    </row>
    <row r="13" spans="2:29" x14ac:dyDescent="0.35">
      <c r="B13" s="35"/>
      <c r="C13" s="36"/>
      <c r="D13" s="22"/>
      <c r="E13" s="24" t="s">
        <v>17</v>
      </c>
      <c r="F13" s="118">
        <v>9.94</v>
      </c>
      <c r="G13" s="118">
        <v>14.45</v>
      </c>
      <c r="H13" s="118">
        <v>18.559999999999999</v>
      </c>
      <c r="I13" s="118">
        <v>18.53</v>
      </c>
      <c r="J13" s="118">
        <v>19.670000000000002</v>
      </c>
      <c r="K13" s="118">
        <v>20.69</v>
      </c>
      <c r="L13" s="118">
        <v>19.37</v>
      </c>
      <c r="M13" s="118">
        <v>23.2</v>
      </c>
      <c r="N13" s="119">
        <v>39.81</v>
      </c>
      <c r="O13" s="37">
        <f>IF(N13="","",(N13/F13)^(1/8)-1)</f>
        <v>0.18939394745925631</v>
      </c>
      <c r="P13" s="37">
        <f>IF(N13="","",(N13/I13)^(1/5)-1)</f>
        <v>0.16526137647550687</v>
      </c>
      <c r="Q13" s="38">
        <f>IF(N13="","",(N13/K13)^(1/3)-1)</f>
        <v>0.24378093525923994</v>
      </c>
      <c r="R13" s="39"/>
      <c r="S13" s="8" t="s">
        <v>77</v>
      </c>
      <c r="T13" s="105">
        <v>1.36</v>
      </c>
      <c r="U13" s="105">
        <v>1.04</v>
      </c>
      <c r="V13" s="105">
        <v>1.49</v>
      </c>
      <c r="W13" s="105">
        <v>1.76</v>
      </c>
      <c r="X13" s="105">
        <v>1.8</v>
      </c>
      <c r="AA13" s="86">
        <f>DATE($C$25,6,1)</f>
        <v>44348</v>
      </c>
      <c r="AB13" s="30">
        <f t="shared" ref="AB13:AB19" si="8">AB12+1</f>
        <v>2019</v>
      </c>
      <c r="AC13" s="88"/>
    </row>
    <row r="14" spans="2:29" ht="14.5" thickBot="1" x14ac:dyDescent="0.4">
      <c r="B14" s="20" t="s">
        <v>69</v>
      </c>
      <c r="C14" s="40">
        <f>IF($C$9="","",(C9*C10-C11+C12)/(IF(N2=5,J6,IF(N2=4,I6,IF(N2=3,H6,IF(N2=2,G6,IF(N2=1,F6)))))))</f>
        <v>104.12160360253971</v>
      </c>
      <c r="D14" s="40"/>
      <c r="E14" s="110" t="s">
        <v>73</v>
      </c>
      <c r="F14" s="120">
        <v>8.33</v>
      </c>
      <c r="G14" s="120">
        <v>12.47</v>
      </c>
      <c r="H14" s="120">
        <v>17.11</v>
      </c>
      <c r="I14" s="120">
        <v>15.74</v>
      </c>
      <c r="J14" s="120">
        <v>16.48</v>
      </c>
      <c r="K14" s="120">
        <v>22.59</v>
      </c>
      <c r="L14" s="120">
        <v>21.41</v>
      </c>
      <c r="M14" s="120">
        <v>26.01</v>
      </c>
      <c r="N14" s="121">
        <v>46.46</v>
      </c>
      <c r="O14" s="111">
        <f t="shared" ref="O14:O16" si="9">IF(N14="","",(N14/F14)^(1/8)-1)</f>
        <v>0.23966481661507033</v>
      </c>
      <c r="P14" s="111">
        <f t="shared" ref="P14:P16" si="10">IF(N14="","",(N14/I14)^(1/5)-1)</f>
        <v>0.24169489467395411</v>
      </c>
      <c r="Q14" s="112">
        <f t="shared" ref="Q14:Q16" si="11">IF(N14="","",(N14/K14)^(1/3)-1)</f>
        <v>0.27170874624375507</v>
      </c>
      <c r="R14" s="39"/>
      <c r="S14" s="8" t="s">
        <v>78</v>
      </c>
      <c r="T14" s="116">
        <v>0.316</v>
      </c>
      <c r="U14" s="116">
        <v>0.17799999999999999</v>
      </c>
      <c r="V14" s="116">
        <v>0.16900000000000001</v>
      </c>
      <c r="W14" s="116">
        <v>0.14599999999999999</v>
      </c>
      <c r="X14" s="116">
        <v>0.19700000000000001</v>
      </c>
      <c r="AA14" s="86">
        <f>DATE($C$25,7,1)</f>
        <v>44378</v>
      </c>
      <c r="AB14" s="30">
        <f t="shared" si="8"/>
        <v>2020</v>
      </c>
      <c r="AC14" s="88"/>
    </row>
    <row r="15" spans="2:29" ht="14.5" thickBot="1" x14ac:dyDescent="0.4">
      <c r="B15" s="20" t="s">
        <v>71</v>
      </c>
      <c r="C15" s="40">
        <f>IF($C$9="","",($C$14/((1+$N$3)^$N$2)))</f>
        <v>67.671898173005417</v>
      </c>
      <c r="D15" s="40"/>
      <c r="E15" s="110" t="s">
        <v>74</v>
      </c>
      <c r="F15" s="120">
        <v>-0.48</v>
      </c>
      <c r="G15" s="120">
        <v>-1.58</v>
      </c>
      <c r="H15" s="120">
        <v>-0.94</v>
      </c>
      <c r="I15" s="120">
        <v>-0.42</v>
      </c>
      <c r="J15" s="120">
        <v>-1.07</v>
      </c>
      <c r="K15" s="120">
        <v>-0.55000000000000004</v>
      </c>
      <c r="L15" s="120">
        <v>-4.8499999999999996</v>
      </c>
      <c r="M15" s="120">
        <v>-1.03</v>
      </c>
      <c r="N15" s="121">
        <v>-1.4</v>
      </c>
      <c r="O15" s="111">
        <f t="shared" si="9"/>
        <v>0.1431700815089938</v>
      </c>
      <c r="P15" s="111">
        <f t="shared" si="10"/>
        <v>0.27225963653939211</v>
      </c>
      <c r="Q15" s="112">
        <f t="shared" si="11"/>
        <v>0.3653849621910632</v>
      </c>
      <c r="R15" s="39"/>
      <c r="S15" s="31" t="s">
        <v>16</v>
      </c>
      <c r="T15" s="128">
        <f>IF(T12="","",(T12-T13)*(1-T14))</f>
        <v>12.524040000000001</v>
      </c>
      <c r="U15" s="128">
        <f t="shared" ref="U15:X15" si="12">IF(U12="","",(U12-U13)*(1-U14))</f>
        <v>16.152300000000004</v>
      </c>
      <c r="V15" s="128">
        <f t="shared" si="12"/>
        <v>14.858280000000001</v>
      </c>
      <c r="W15" s="128">
        <f t="shared" si="12"/>
        <v>18.309759999999997</v>
      </c>
      <c r="X15" s="129">
        <f t="shared" si="12"/>
        <v>30.522030000000001</v>
      </c>
      <c r="AA15" s="86">
        <f>DATE($C$25,8,1)</f>
        <v>44409</v>
      </c>
      <c r="AB15" s="30">
        <f t="shared" si="8"/>
        <v>2021</v>
      </c>
      <c r="AC15" s="88"/>
    </row>
    <row r="16" spans="2:29" ht="14.5" thickBot="1" x14ac:dyDescent="0.4">
      <c r="B16" s="20" t="s">
        <v>18</v>
      </c>
      <c r="C16" s="39">
        <f>IF($C$14="","",(C14-N5)/N5)</f>
        <v>0.82541380789866248</v>
      </c>
      <c r="D16" s="39"/>
      <c r="E16" s="113" t="s">
        <v>75</v>
      </c>
      <c r="F16" s="122">
        <v>1.0900000000000001</v>
      </c>
      <c r="G16" s="122">
        <v>1.24</v>
      </c>
      <c r="H16" s="122">
        <v>1.55</v>
      </c>
      <c r="I16" s="122">
        <v>1.65</v>
      </c>
      <c r="J16" s="122">
        <v>1.91</v>
      </c>
      <c r="K16" s="122">
        <v>2.2599999999999998</v>
      </c>
      <c r="L16" s="122">
        <v>2.7</v>
      </c>
      <c r="M16" s="122">
        <v>3.06</v>
      </c>
      <c r="N16" s="123">
        <v>3.33</v>
      </c>
      <c r="O16" s="111">
        <f t="shared" si="9"/>
        <v>0.14981300633734773</v>
      </c>
      <c r="P16" s="111">
        <f t="shared" si="10"/>
        <v>0.15077934392462433</v>
      </c>
      <c r="Q16" s="112">
        <f t="shared" si="11"/>
        <v>0.13792052621919337</v>
      </c>
      <c r="AA16" s="86">
        <f>DATE($C$25,9,1)</f>
        <v>44440</v>
      </c>
      <c r="AB16" s="30">
        <f t="shared" si="8"/>
        <v>2022</v>
      </c>
      <c r="AC16" s="88"/>
    </row>
    <row r="17" spans="2:36" ht="17.25" customHeight="1" x14ac:dyDescent="0.35">
      <c r="B17" s="48" t="s">
        <v>19</v>
      </c>
      <c r="C17" s="49">
        <f ca="1">IF($C$16="","",((C14/$N$5)^(1/(COUNT(G2:J2)+(F2-TODAY()+90)/365))-1))</f>
        <v>0.15770503995879048</v>
      </c>
      <c r="D17" s="50"/>
      <c r="E17" s="41" t="s">
        <v>6</v>
      </c>
      <c r="F17" s="114">
        <f>IF(F14="","",F14+F15-F16)</f>
        <v>6.76</v>
      </c>
      <c r="G17" s="114">
        <f t="shared" ref="G17:N17" si="13">IF(G14="","",G14+G15-G16)</f>
        <v>9.65</v>
      </c>
      <c r="H17" s="114">
        <f t="shared" si="13"/>
        <v>14.619999999999997</v>
      </c>
      <c r="I17" s="114">
        <f t="shared" si="13"/>
        <v>13.67</v>
      </c>
      <c r="J17" s="124">
        <f t="shared" si="13"/>
        <v>13.5</v>
      </c>
      <c r="K17" s="124">
        <f t="shared" si="13"/>
        <v>19.78</v>
      </c>
      <c r="L17" s="124">
        <f t="shared" si="13"/>
        <v>13.860000000000003</v>
      </c>
      <c r="M17" s="124">
        <f t="shared" si="13"/>
        <v>21.92</v>
      </c>
      <c r="N17" s="125">
        <f t="shared" si="13"/>
        <v>41.730000000000004</v>
      </c>
      <c r="O17" s="37">
        <f>IF(N17="","",(N17/F17)^(1/8)-1)</f>
        <v>0.25548841926249133</v>
      </c>
      <c r="P17" s="37">
        <f>IF(N17="","",(N17/I17)^(1/5)-1)</f>
        <v>0.2500747240575234</v>
      </c>
      <c r="Q17" s="38">
        <f>IF(N17="","",(N17/K17)^(1/3)-1)</f>
        <v>0.28254919517278765</v>
      </c>
      <c r="S17" s="8" t="s">
        <v>55</v>
      </c>
      <c r="T17" s="105">
        <v>21.18</v>
      </c>
      <c r="U17" s="105">
        <v>22.78</v>
      </c>
      <c r="V17" s="105">
        <v>25.39</v>
      </c>
      <c r="W17" s="105">
        <v>30</v>
      </c>
      <c r="X17" s="105">
        <v>41.76</v>
      </c>
      <c r="AA17" s="86">
        <f>DATE($C$25,10,1)</f>
        <v>44470</v>
      </c>
      <c r="AB17" s="30">
        <f t="shared" si="8"/>
        <v>2023</v>
      </c>
      <c r="AC17" s="88"/>
    </row>
    <row r="18" spans="2:36" ht="14.5" thickBot="1" x14ac:dyDescent="0.4">
      <c r="B18" s="28" t="s">
        <v>20</v>
      </c>
      <c r="C18" s="52">
        <f ca="1">IF($C$17="","",((C14/$N$6)^(1/(COUNT(G2:J2)+(F2-TODAY()+90)/365)))-1)</f>
        <v>0.20011656804277367</v>
      </c>
      <c r="D18" s="50"/>
      <c r="E18" s="43" t="s">
        <v>41</v>
      </c>
      <c r="F18" s="44">
        <f t="shared" ref="F18:N18" si="14">IF(F13="","",F13/F12)</f>
        <v>0.29548156956004756</v>
      </c>
      <c r="G18" s="44">
        <f t="shared" si="14"/>
        <v>0.36279186542806929</v>
      </c>
      <c r="H18" s="44">
        <f t="shared" si="14"/>
        <v>0.39049021670523876</v>
      </c>
      <c r="I18" s="44">
        <f t="shared" si="14"/>
        <v>0.38151122091826234</v>
      </c>
      <c r="J18" s="44">
        <f t="shared" si="14"/>
        <v>0.37696435415868151</v>
      </c>
      <c r="K18" s="44">
        <f t="shared" si="14"/>
        <v>0.36645412681544459</v>
      </c>
      <c r="L18" s="44">
        <f t="shared" si="14"/>
        <v>0.32500000000000001</v>
      </c>
      <c r="M18" s="44">
        <f t="shared" si="14"/>
        <v>0.35474006116207946</v>
      </c>
      <c r="N18" s="45">
        <f t="shared" si="14"/>
        <v>0.43921006178287736</v>
      </c>
      <c r="O18" s="37">
        <f>IF(N18="","",AVERAGE(F18:N18))</f>
        <v>0.36584927517007793</v>
      </c>
      <c r="P18" s="37">
        <f>IF(N18="","",AVERAGE(J18:N18))</f>
        <v>0.37247372078381658</v>
      </c>
      <c r="Q18" s="38">
        <f>IF(N18="","",AVERAGE(L18:N18))</f>
        <v>0.37298337431498557</v>
      </c>
      <c r="S18" s="8" t="s">
        <v>56</v>
      </c>
      <c r="T18" s="105">
        <v>0</v>
      </c>
      <c r="U18" s="105">
        <v>0</v>
      </c>
      <c r="V18" s="105">
        <v>1.94</v>
      </c>
      <c r="W18" s="105">
        <v>1.83</v>
      </c>
      <c r="X18" s="105">
        <v>1.91</v>
      </c>
      <c r="AA18" s="86">
        <f>DATE($C$25,11,1)</f>
        <v>44501</v>
      </c>
      <c r="AB18" s="30">
        <f t="shared" si="8"/>
        <v>2024</v>
      </c>
      <c r="AC18" s="88"/>
    </row>
    <row r="19" spans="2:36" ht="14.5" thickBot="1" x14ac:dyDescent="0.4">
      <c r="B19" s="55"/>
      <c r="C19" s="56"/>
      <c r="E19" s="20" t="s">
        <v>9</v>
      </c>
      <c r="F19" s="44">
        <f t="shared" ref="F19:N19" si="15">IF(F17="","",F17/F12)</f>
        <v>0.20095124851367419</v>
      </c>
      <c r="G19" s="44">
        <f t="shared" si="15"/>
        <v>0.24227968867687674</v>
      </c>
      <c r="H19" s="44">
        <f t="shared" si="15"/>
        <v>0.30759520302966542</v>
      </c>
      <c r="I19" s="44">
        <f t="shared" si="15"/>
        <v>0.2814494543957175</v>
      </c>
      <c r="J19" s="44">
        <f t="shared" si="15"/>
        <v>0.25871981602146416</v>
      </c>
      <c r="K19" s="44">
        <f t="shared" si="15"/>
        <v>0.35033652143110167</v>
      </c>
      <c r="L19" s="44">
        <f t="shared" si="15"/>
        <v>0.23255033557046983</v>
      </c>
      <c r="M19" s="44">
        <f t="shared" si="15"/>
        <v>0.33516819571865442</v>
      </c>
      <c r="N19" s="45">
        <f t="shared" si="15"/>
        <v>0.46039276257722866</v>
      </c>
      <c r="O19" s="46">
        <f>IF(N19="","",AVERAGE(F19:N19))</f>
        <v>0.29660480288165025</v>
      </c>
      <c r="P19" s="46">
        <f>IF(N19="","",AVERAGE(J19:N19))</f>
        <v>0.32743352626378375</v>
      </c>
      <c r="Q19" s="47">
        <f>IF(N19="","",AVERAGE(L19:N19))</f>
        <v>0.3427037646221176</v>
      </c>
      <c r="S19" s="31" t="s">
        <v>68</v>
      </c>
      <c r="T19" s="128">
        <f>IF(T17="","",T17-T18)</f>
        <v>21.18</v>
      </c>
      <c r="U19" s="128">
        <f>IF(U17="","",U17-U18)</f>
        <v>22.78</v>
      </c>
      <c r="V19" s="128">
        <f>IF(V17="","",V17-V18)</f>
        <v>23.45</v>
      </c>
      <c r="W19" s="128">
        <f>IF(W17="","",W17-W18)</f>
        <v>28.17</v>
      </c>
      <c r="X19" s="129">
        <f>IF(X17="","",X17-X18)</f>
        <v>39.85</v>
      </c>
      <c r="AA19" s="86">
        <f>DATE($C$25,12,1)</f>
        <v>44531</v>
      </c>
      <c r="AB19" s="30">
        <f t="shared" si="8"/>
        <v>2025</v>
      </c>
      <c r="AC19" s="88"/>
    </row>
    <row r="20" spans="2:36" ht="17.25" customHeight="1" x14ac:dyDescent="0.35">
      <c r="B20" s="20" t="s">
        <v>21</v>
      </c>
      <c r="C20" s="40">
        <f>IF($C$21="","",((N5*N35+C11)/N17))</f>
        <v>15.329556673855741</v>
      </c>
      <c r="D20" s="40"/>
      <c r="T20" s="22"/>
      <c r="U20" s="22"/>
      <c r="V20" s="22"/>
      <c r="W20" s="22"/>
      <c r="X20" s="22"/>
      <c r="AB20" s="22"/>
      <c r="AC20" s="22"/>
    </row>
    <row r="21" spans="2:36" x14ac:dyDescent="0.35">
      <c r="B21" s="20" t="s">
        <v>22</v>
      </c>
      <c r="C21" s="42">
        <f>IF($N$35="","",(N5*N35+C11))</f>
        <v>639.70240000000013</v>
      </c>
      <c r="D21" s="40"/>
      <c r="E21" s="53" t="s">
        <v>80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9">
        <v>0</v>
      </c>
      <c r="O21" s="37" t="e">
        <f>IF(N21="","",(N21/F21)^(1/8)-1)</f>
        <v>#DIV/0!</v>
      </c>
      <c r="P21" s="37" t="e">
        <f>IF(N21="","",(N21/I21)^(1/5)-1)</f>
        <v>#DIV/0!</v>
      </c>
      <c r="Q21" s="37" t="e">
        <f>IF(N21="","",(N21/K21)^(1/3)-1)</f>
        <v>#DIV/0!</v>
      </c>
      <c r="S21" s="8" t="s">
        <v>57</v>
      </c>
      <c r="T21" s="105">
        <v>32.450000000000003</v>
      </c>
      <c r="U21" s="105">
        <v>36.75</v>
      </c>
      <c r="V21" s="105">
        <v>35.03</v>
      </c>
      <c r="W21" s="105">
        <v>42.11</v>
      </c>
      <c r="X21" s="105">
        <v>59.95</v>
      </c>
    </row>
    <row r="22" spans="2:36" ht="14.5" thickBot="1" x14ac:dyDescent="0.4">
      <c r="B22" s="24" t="s">
        <v>23</v>
      </c>
      <c r="C22" s="82">
        <f>IF($N$5="","",N4*N5)</f>
        <v>673.64240000000007</v>
      </c>
      <c r="D22" s="40"/>
      <c r="E22" s="95" t="s">
        <v>81</v>
      </c>
      <c r="F22" s="44">
        <f t="shared" ref="F22" si="16">IF(F21="","",(F21/F12))</f>
        <v>0</v>
      </c>
      <c r="G22" s="44">
        <f>IF(G21="","",(G21/G12))</f>
        <v>0</v>
      </c>
      <c r="H22" s="44">
        <f t="shared" ref="H22:N22" si="17">IF(H21="","",(H21/H12))</f>
        <v>0</v>
      </c>
      <c r="I22" s="44">
        <f t="shared" si="17"/>
        <v>0</v>
      </c>
      <c r="J22" s="44">
        <f t="shared" si="17"/>
        <v>0</v>
      </c>
      <c r="K22" s="44">
        <f t="shared" si="17"/>
        <v>0</v>
      </c>
      <c r="L22" s="44">
        <f t="shared" si="17"/>
        <v>0</v>
      </c>
      <c r="M22" s="44">
        <f t="shared" si="17"/>
        <v>0</v>
      </c>
      <c r="N22" s="45">
        <f t="shared" si="17"/>
        <v>0</v>
      </c>
      <c r="S22" s="8" t="s">
        <v>68</v>
      </c>
      <c r="T22" s="106">
        <f>T19</f>
        <v>21.18</v>
      </c>
      <c r="U22" s="106">
        <f>U19</f>
        <v>22.78</v>
      </c>
      <c r="V22" s="106">
        <f>V19</f>
        <v>23.45</v>
      </c>
      <c r="W22" s="106">
        <f>W19</f>
        <v>28.17</v>
      </c>
      <c r="X22" s="106">
        <f>X19</f>
        <v>39.85</v>
      </c>
    </row>
    <row r="23" spans="2:36" ht="14.5" thickBot="1" x14ac:dyDescent="0.4">
      <c r="N23" s="51"/>
      <c r="S23" s="31" t="s">
        <v>58</v>
      </c>
      <c r="T23" s="128">
        <f>IF(T21="","",T21-T22)</f>
        <v>11.270000000000003</v>
      </c>
      <c r="U23" s="128">
        <f>IF(U21="","",U21-U22)</f>
        <v>13.969999999999999</v>
      </c>
      <c r="V23" s="128">
        <f>IF(V21="","",V21-V22)</f>
        <v>11.580000000000002</v>
      </c>
      <c r="W23" s="128">
        <f>IF(W21="","",W21-W22)</f>
        <v>13.939999999999998</v>
      </c>
      <c r="X23" s="129">
        <f>IF(X21="","",X21-X22)</f>
        <v>20.100000000000001</v>
      </c>
    </row>
    <row r="24" spans="2:36" ht="14.5" thickBot="1" x14ac:dyDescent="0.4">
      <c r="B24" s="57" t="s">
        <v>47</v>
      </c>
      <c r="C24" s="83">
        <v>44531</v>
      </c>
      <c r="D24" s="58"/>
      <c r="E24" s="53" t="s">
        <v>46</v>
      </c>
      <c r="F24" s="54">
        <f t="shared" ref="F24:M24" si="18">IF(F35="","",F17/F35)</f>
        <v>0.62825278810408924</v>
      </c>
      <c r="G24" s="54">
        <f t="shared" si="18"/>
        <v>0.86624775583482938</v>
      </c>
      <c r="H24" s="54">
        <f t="shared" si="18"/>
        <v>1.2949512843224091</v>
      </c>
      <c r="I24" s="54">
        <f t="shared" si="18"/>
        <v>1.2054673721340388</v>
      </c>
      <c r="J24" s="126">
        <f t="shared" si="18"/>
        <v>1.1668107173725151</v>
      </c>
      <c r="K24" s="126">
        <f t="shared" si="18"/>
        <v>1.7022375215146301</v>
      </c>
      <c r="L24" s="126">
        <f t="shared" si="18"/>
        <v>1.1846153846153848</v>
      </c>
      <c r="M24" s="126">
        <f t="shared" si="18"/>
        <v>1.8847807394668961</v>
      </c>
      <c r="N24" s="127">
        <f>IF(N35="","",N17/N35)</f>
        <v>3.5334462320067743</v>
      </c>
      <c r="O24" s="37">
        <f>IF(N24="","",(N24/F24)^(1/8)-1)</f>
        <v>0.2409606421994781</v>
      </c>
      <c r="P24" s="37">
        <f>IF(N24="","",(N24/I24)^(1/5)-1)</f>
        <v>0.23996265520291993</v>
      </c>
      <c r="Q24" s="37">
        <f>IF(N24="","",(N24/K24)^(1/3)-1)</f>
        <v>0.27563406797304757</v>
      </c>
      <c r="AD24" s="20"/>
    </row>
    <row r="25" spans="2:36" ht="14.5" thickBot="1" x14ac:dyDescent="0.4">
      <c r="B25" s="57" t="s">
        <v>48</v>
      </c>
      <c r="C25" s="87">
        <v>2021</v>
      </c>
      <c r="E25" s="95" t="s">
        <v>65</v>
      </c>
      <c r="F25" s="44"/>
      <c r="G25" s="44">
        <f>IF(F24="","",(G24-F24)/F24)</f>
        <v>0.37882039242348575</v>
      </c>
      <c r="H25" s="44">
        <f t="shared" ref="H25:N25" si="19">IF(G24="","",(H24-G24)/G24)</f>
        <v>0.49489713029550664</v>
      </c>
      <c r="I25" s="44">
        <f t="shared" si="19"/>
        <v>-6.9102145595533626E-2</v>
      </c>
      <c r="J25" s="44">
        <f t="shared" si="19"/>
        <v>-3.206777359149076E-2</v>
      </c>
      <c r="K25" s="44">
        <f t="shared" si="19"/>
        <v>0.45888060177216827</v>
      </c>
      <c r="L25" s="44">
        <f t="shared" si="19"/>
        <v>-0.30408337870420776</v>
      </c>
      <c r="M25" s="44">
        <f t="shared" si="19"/>
        <v>0.59104867617335355</v>
      </c>
      <c r="N25" s="44">
        <f t="shared" si="19"/>
        <v>0.87472535028461607</v>
      </c>
      <c r="S25" s="8" t="s">
        <v>59</v>
      </c>
      <c r="T25" s="105">
        <v>2.02</v>
      </c>
      <c r="U25" s="105">
        <v>1.98</v>
      </c>
      <c r="V25" s="105">
        <v>22.44</v>
      </c>
      <c r="W25" s="105">
        <v>20.21</v>
      </c>
      <c r="X25" s="105">
        <v>19.940000000000001</v>
      </c>
    </row>
    <row r="26" spans="2:36" ht="14.5" thickBot="1" x14ac:dyDescent="0.4">
      <c r="B26" s="57" t="s">
        <v>66</v>
      </c>
      <c r="C26" s="3">
        <v>44948</v>
      </c>
      <c r="S26" s="8" t="s">
        <v>60</v>
      </c>
      <c r="T26" s="105">
        <v>0.25</v>
      </c>
      <c r="U26" s="105">
        <v>0.25</v>
      </c>
      <c r="V26" s="105">
        <v>0.25</v>
      </c>
      <c r="W26" s="105">
        <v>0.25</v>
      </c>
      <c r="X26" s="105">
        <v>0.25</v>
      </c>
    </row>
    <row r="27" spans="2:36" ht="14.5" thickBot="1" x14ac:dyDescent="0.4">
      <c r="E27" s="59" t="s">
        <v>24</v>
      </c>
      <c r="F27" s="1">
        <v>8.6</v>
      </c>
      <c r="G27" s="1">
        <v>16</v>
      </c>
      <c r="H27" s="1">
        <v>17</v>
      </c>
      <c r="I27" s="1">
        <v>21</v>
      </c>
      <c r="J27" s="1">
        <v>27</v>
      </c>
      <c r="K27" s="1">
        <v>34</v>
      </c>
      <c r="L27" s="1">
        <v>33</v>
      </c>
      <c r="M27" s="1">
        <v>40</v>
      </c>
      <c r="N27" s="2">
        <v>55</v>
      </c>
      <c r="O27" s="33">
        <f>IF(N27="","",(N27/F27)^(1/8)-1)</f>
        <v>0.26105210025448033</v>
      </c>
      <c r="P27" s="33">
        <f>IF(N27="","",(N27/I27)^(1/5)-1)</f>
        <v>0.21235184842949906</v>
      </c>
      <c r="Q27" s="34">
        <f>IF(N27="","",(N27/K27)^(1/3)-1)</f>
        <v>0.17389140861314467</v>
      </c>
      <c r="S27" s="8" t="s">
        <v>61</v>
      </c>
      <c r="T27" s="106">
        <f>IF(T17="","",IF(J29&lt;0,-J29,0))</f>
        <v>23.68</v>
      </c>
      <c r="U27" s="106">
        <f>IF(U17="","",IF(K29&lt;0,-K29,0))</f>
        <v>28.81</v>
      </c>
      <c r="V27" s="106">
        <f>IF(V17="","",IF(L29&lt;0,-L29,0))</f>
        <v>10.75</v>
      </c>
      <c r="W27" s="106">
        <f>IF(W17="","",IF(M29&lt;0,-M29,0))</f>
        <v>17.440000000000001</v>
      </c>
      <c r="X27" s="106">
        <f>IF(X17="","",IF(N29&lt;0,-N29,0))</f>
        <v>33.94</v>
      </c>
    </row>
    <row r="28" spans="2:36" ht="14.5" thickBot="1" x14ac:dyDescent="0.4">
      <c r="B28" s="132" t="s">
        <v>26</v>
      </c>
      <c r="C28" s="133"/>
      <c r="E28" s="60" t="s">
        <v>25</v>
      </c>
      <c r="F28" s="21">
        <f>IF(F35="","",F27*F35+F29)</f>
        <v>73.596000000000004</v>
      </c>
      <c r="G28" s="21">
        <f t="shared" ref="G28:M28" si="20">IF(G35="","",G27*G35+G29)</f>
        <v>157.97</v>
      </c>
      <c r="H28" s="21">
        <f t="shared" si="20"/>
        <v>167.99999999999997</v>
      </c>
      <c r="I28" s="21">
        <f t="shared" si="20"/>
        <v>213.10999999999999</v>
      </c>
      <c r="J28" s="21">
        <f t="shared" si="20"/>
        <v>288.70999999999998</v>
      </c>
      <c r="K28" s="21">
        <f t="shared" si="20"/>
        <v>366.27</v>
      </c>
      <c r="L28" s="21">
        <f t="shared" si="20"/>
        <v>375.34999999999997</v>
      </c>
      <c r="M28" s="21">
        <f t="shared" si="20"/>
        <v>447.76000000000005</v>
      </c>
      <c r="N28" s="61">
        <f>IF(N35="","",N27*N35+N29)</f>
        <v>615.61000000000013</v>
      </c>
      <c r="O28" s="62"/>
      <c r="P28" s="62"/>
      <c r="Q28" s="63"/>
      <c r="S28" s="8" t="s">
        <v>62</v>
      </c>
      <c r="T28" s="106">
        <f>IF(T17="","",IF(T27=0,0,IF(T17&lt;T27,T17,T27)))</f>
        <v>21.18</v>
      </c>
      <c r="U28" s="106">
        <f>IF(U17="","",IF(U27=0,0,IF(U17&lt;U27,U17,U27)))</f>
        <v>22.78</v>
      </c>
      <c r="V28" s="106">
        <f>IF(V17="","",IF(V27=0,0,IF(V17&lt;V27,V17,V27)))</f>
        <v>10.75</v>
      </c>
      <c r="W28" s="106">
        <f>IF(W17="","",IF(W27=0,0,IF(W17&lt;W27,W17,W27)))</f>
        <v>17.440000000000001</v>
      </c>
      <c r="X28" s="106">
        <f>IF(X17="","",IF(X27=0,0,IF(X17&lt;X27,X17,X27)))</f>
        <v>33.94</v>
      </c>
    </row>
    <row r="29" spans="2:36" ht="14.5" thickBot="1" x14ac:dyDescent="0.4">
      <c r="E29" s="64" t="s">
        <v>38</v>
      </c>
      <c r="F29" s="6">
        <v>-18.940000000000001</v>
      </c>
      <c r="G29" s="6">
        <v>-20.27</v>
      </c>
      <c r="H29" s="6">
        <v>-23.93</v>
      </c>
      <c r="I29" s="6">
        <v>-25.03</v>
      </c>
      <c r="J29" s="6">
        <v>-23.68</v>
      </c>
      <c r="K29" s="6">
        <v>-28.81</v>
      </c>
      <c r="L29" s="6">
        <v>-10.75</v>
      </c>
      <c r="M29" s="6">
        <v>-17.440000000000001</v>
      </c>
      <c r="N29" s="7">
        <v>-33.94</v>
      </c>
      <c r="O29" s="62"/>
      <c r="P29" s="62"/>
      <c r="Q29" s="63"/>
      <c r="S29" s="31" t="s">
        <v>63</v>
      </c>
      <c r="T29" s="128">
        <f>IF(T27="","",T27-T28)</f>
        <v>2.5</v>
      </c>
      <c r="U29" s="128">
        <f>IF(U27="","",U27-U28)</f>
        <v>6.0299999999999976</v>
      </c>
      <c r="V29" s="128">
        <f>IF(V27="","",V27-V28)</f>
        <v>0</v>
      </c>
      <c r="W29" s="128">
        <f>IF(W27="","",W27-W28)</f>
        <v>0</v>
      </c>
      <c r="X29" s="129">
        <f>IF(X27="","",X27-X28)</f>
        <v>0</v>
      </c>
    </row>
    <row r="30" spans="2:36" ht="14.5" thickBot="1" x14ac:dyDescent="0.4">
      <c r="D30" s="68"/>
      <c r="E30" s="60" t="s">
        <v>42</v>
      </c>
      <c r="F30" s="40">
        <f t="shared" ref="F30:N30" si="21">IF(F28="","",(F27*F35+F29)/F17)</f>
        <v>10.886982248520711</v>
      </c>
      <c r="G30" s="40">
        <f t="shared" si="21"/>
        <v>16.369948186528497</v>
      </c>
      <c r="H30" s="40">
        <f t="shared" si="21"/>
        <v>11.491108071135431</v>
      </c>
      <c r="I30" s="40">
        <f t="shared" si="21"/>
        <v>15.589612289685441</v>
      </c>
      <c r="J30" s="40">
        <f t="shared" si="21"/>
        <v>21.385925925925925</v>
      </c>
      <c r="K30" s="40">
        <f t="shared" si="21"/>
        <v>18.517189079878662</v>
      </c>
      <c r="L30" s="40">
        <f t="shared" si="21"/>
        <v>27.081529581529573</v>
      </c>
      <c r="M30" s="40">
        <f t="shared" si="21"/>
        <v>20.427007299270073</v>
      </c>
      <c r="N30" s="65">
        <f t="shared" si="21"/>
        <v>14.752216630721305</v>
      </c>
      <c r="O30" s="66">
        <f t="shared" ref="O30:O33" si="22">IF(N30="","",AVERAGE(F30:N30))</f>
        <v>17.389057701466179</v>
      </c>
      <c r="P30" s="66">
        <f t="shared" ref="P30:P33" si="23">IF(N30="","",AVERAGE(J30:N30))</f>
        <v>20.432773703465109</v>
      </c>
      <c r="Q30" s="67">
        <f t="shared" ref="Q30:Q33" si="24">IF(N30="","",AVERAGE(L30:N30))</f>
        <v>20.753584503840319</v>
      </c>
      <c r="AJ30" s="68"/>
    </row>
    <row r="31" spans="2:36" ht="14.5" thickBot="1" x14ac:dyDescent="0.4">
      <c r="C31" s="68"/>
      <c r="D31" s="68"/>
      <c r="E31" s="60" t="s">
        <v>43</v>
      </c>
      <c r="F31" s="40">
        <f t="shared" ref="F31:N31" si="25">IF(F28="","",(F27*F35+F29)/F13)</f>
        <v>7.4040241448692159</v>
      </c>
      <c r="G31" s="40">
        <f t="shared" si="25"/>
        <v>10.932179930795849</v>
      </c>
      <c r="H31" s="40">
        <f t="shared" si="25"/>
        <v>9.0517241379310338</v>
      </c>
      <c r="I31" s="40">
        <f t="shared" si="25"/>
        <v>11.50080949811117</v>
      </c>
      <c r="J31" s="40">
        <f t="shared" si="25"/>
        <v>14.677681748856124</v>
      </c>
      <c r="K31" s="40">
        <f t="shared" si="25"/>
        <v>17.702754954084096</v>
      </c>
      <c r="L31" s="40">
        <f t="shared" si="25"/>
        <v>19.377903975219407</v>
      </c>
      <c r="M31" s="40">
        <f t="shared" si="25"/>
        <v>19.300000000000004</v>
      </c>
      <c r="N31" s="65">
        <f t="shared" si="25"/>
        <v>15.463702587289628</v>
      </c>
      <c r="O31" s="66">
        <f t="shared" si="22"/>
        <v>13.934531219684059</v>
      </c>
      <c r="P31" s="66">
        <f t="shared" si="23"/>
        <v>17.304408653089851</v>
      </c>
      <c r="Q31" s="67">
        <f t="shared" si="24"/>
        <v>18.047202187503014</v>
      </c>
      <c r="S31" s="31" t="s">
        <v>64</v>
      </c>
      <c r="T31" s="128">
        <f>IF(T23="","",T23+T25+T26-T29)</f>
        <v>11.040000000000003</v>
      </c>
      <c r="U31" s="128">
        <f>IF(U23="","",U23+U25+U26-U29)</f>
        <v>10.170000000000002</v>
      </c>
      <c r="V31" s="128">
        <f>IF(V23="","",V23+V25+V26-V29)</f>
        <v>34.270000000000003</v>
      </c>
      <c r="W31" s="128">
        <f>IF(W23="","",W23+W25+W26-W29)</f>
        <v>34.4</v>
      </c>
      <c r="X31" s="129">
        <f>IF(X23="","",X23+X25+X26-X29)</f>
        <v>40.290000000000006</v>
      </c>
    </row>
    <row r="32" spans="2:36" ht="14.5" thickBot="1" x14ac:dyDescent="0.4">
      <c r="C32" s="68"/>
      <c r="D32" s="68"/>
      <c r="E32" s="60" t="s">
        <v>44</v>
      </c>
      <c r="F32" s="40">
        <f t="shared" ref="F32:N32" si="26">IF(F28="","",(F27*F35+F29)/F12)</f>
        <v>2.1877526753864447</v>
      </c>
      <c r="G32" s="40">
        <f t="shared" si="26"/>
        <v>3.966105950288727</v>
      </c>
      <c r="H32" s="40">
        <f t="shared" si="26"/>
        <v>3.5346097201767299</v>
      </c>
      <c r="I32" s="40">
        <f t="shared" si="26"/>
        <v>4.38768787317274</v>
      </c>
      <c r="J32" s="40">
        <f t="shared" si="26"/>
        <v>5.5329628210042161</v>
      </c>
      <c r="K32" s="40">
        <f t="shared" si="26"/>
        <v>6.4872476089266735</v>
      </c>
      <c r="L32" s="40">
        <f t="shared" si="26"/>
        <v>6.297818791946308</v>
      </c>
      <c r="M32" s="40">
        <f t="shared" si="26"/>
        <v>6.8464831804281348</v>
      </c>
      <c r="N32" s="65">
        <f t="shared" si="26"/>
        <v>6.7918137687555173</v>
      </c>
      <c r="O32" s="66">
        <f t="shared" si="22"/>
        <v>5.1147202655650545</v>
      </c>
      <c r="P32" s="66">
        <f t="shared" si="23"/>
        <v>6.3912652342121694</v>
      </c>
      <c r="Q32" s="67">
        <f t="shared" si="24"/>
        <v>6.6453719137099867</v>
      </c>
    </row>
    <row r="33" spans="3:24" ht="18" customHeight="1" thickBot="1" x14ac:dyDescent="0.4">
      <c r="D33" s="68"/>
      <c r="E33" s="60" t="s">
        <v>45</v>
      </c>
      <c r="F33" s="40">
        <f t="shared" ref="F33:N33" si="27">IF(F29="","",+F29/F13)</f>
        <v>-1.9054325955734408</v>
      </c>
      <c r="G33" s="40">
        <f t="shared" si="27"/>
        <v>-1.4027681660899654</v>
      </c>
      <c r="H33" s="40">
        <f t="shared" si="27"/>
        <v>-1.2893318965517242</v>
      </c>
      <c r="I33" s="40">
        <f t="shared" si="27"/>
        <v>-1.3507825148407986</v>
      </c>
      <c r="J33" s="40">
        <f t="shared" si="27"/>
        <v>-1.2038637519064563</v>
      </c>
      <c r="K33" s="40">
        <f t="shared" si="27"/>
        <v>-1.3924601256645721</v>
      </c>
      <c r="L33" s="40">
        <f t="shared" si="27"/>
        <v>-0.55498193082085701</v>
      </c>
      <c r="M33" s="40">
        <f t="shared" si="27"/>
        <v>-0.75172413793103454</v>
      </c>
      <c r="N33" s="65">
        <f t="shared" si="27"/>
        <v>-0.85254961065059021</v>
      </c>
      <c r="O33" s="66">
        <f t="shared" si="22"/>
        <v>-1.1893216366699377</v>
      </c>
      <c r="P33" s="66">
        <f t="shared" si="23"/>
        <v>-0.95111591139470197</v>
      </c>
      <c r="Q33" s="67">
        <f t="shared" si="24"/>
        <v>-0.71975189313416055</v>
      </c>
      <c r="R33" s="39"/>
      <c r="S33" s="31" t="s">
        <v>28</v>
      </c>
      <c r="T33" s="32">
        <f>IF(T31="","",T15/T31)</f>
        <v>1.1344239130434781</v>
      </c>
      <c r="U33" s="32">
        <f>IF(U31="","",U15/U31)</f>
        <v>1.5882300884955753</v>
      </c>
      <c r="V33" s="32">
        <f>IF(V31="","",V15/V31)</f>
        <v>0.43356521739130433</v>
      </c>
      <c r="W33" s="32">
        <f>IF(W31="","",W15/W31)</f>
        <v>0.532260465116279</v>
      </c>
      <c r="X33" s="81">
        <f>IF(X31="","",X15/X31)</f>
        <v>0.75755845122859256</v>
      </c>
    </row>
    <row r="34" spans="3:24" ht="15" customHeight="1" thickBot="1" x14ac:dyDescent="0.4">
      <c r="C34" s="68"/>
      <c r="D34" s="68"/>
      <c r="R34" s="39"/>
    </row>
    <row r="35" spans="3:24" ht="14.5" thickBot="1" x14ac:dyDescent="0.4">
      <c r="C35" s="68"/>
      <c r="D35" s="68"/>
      <c r="E35" s="24" t="s">
        <v>27</v>
      </c>
      <c r="F35" s="6">
        <v>10.76</v>
      </c>
      <c r="G35" s="6">
        <v>11.14</v>
      </c>
      <c r="H35" s="6">
        <v>11.29</v>
      </c>
      <c r="I35" s="6">
        <v>11.34</v>
      </c>
      <c r="J35" s="118">
        <v>11.57</v>
      </c>
      <c r="K35" s="118">
        <v>11.62</v>
      </c>
      <c r="L35" s="118">
        <v>11.7</v>
      </c>
      <c r="M35" s="118">
        <v>11.63</v>
      </c>
      <c r="N35" s="119">
        <v>11.81</v>
      </c>
      <c r="O35" s="89">
        <f t="shared" ref="O35" si="28">IF(N35="","",(N35/F35)^(1/8)-1)</f>
        <v>1.1706879790533975E-2</v>
      </c>
      <c r="P35" s="90">
        <f t="shared" ref="P35" si="29">IF(N35="","",(N35/I35)^(1/5)-1)</f>
        <v>8.1551398440695699E-3</v>
      </c>
      <c r="Q35" s="91">
        <f t="shared" ref="Q35" si="30">IF(N35="","",(N35/K35)^(1/3)-1)</f>
        <v>5.4209333016075334E-3</v>
      </c>
      <c r="S35" s="31" t="s">
        <v>29</v>
      </c>
      <c r="T35" s="32">
        <f>IF(X33="","",AVERAGE(T33:X33))</f>
        <v>0.88920762705504597</v>
      </c>
      <c r="U35" s="32"/>
      <c r="V35" s="32"/>
      <c r="W35" s="32"/>
      <c r="X35" s="81"/>
    </row>
    <row r="36" spans="3:24" x14ac:dyDescent="0.35">
      <c r="E36" s="95" t="s">
        <v>65</v>
      </c>
      <c r="F36" s="44"/>
      <c r="G36" s="44">
        <f t="shared" ref="G36:M36" si="31">IF(F35="","",(G35-F35)/F35)</f>
        <v>3.5315985130111596E-2</v>
      </c>
      <c r="H36" s="44">
        <f t="shared" si="31"/>
        <v>1.3464991023339189E-2</v>
      </c>
      <c r="I36" s="44">
        <f t="shared" si="31"/>
        <v>4.4286979627990008E-3</v>
      </c>
      <c r="J36" s="44">
        <f t="shared" si="31"/>
        <v>2.0282186948853653E-2</v>
      </c>
      <c r="K36" s="44">
        <f t="shared" si="31"/>
        <v>4.3215211754536673E-3</v>
      </c>
      <c r="L36" s="44">
        <f t="shared" si="31"/>
        <v>6.8846815834767705E-3</v>
      </c>
      <c r="M36" s="44">
        <f t="shared" si="31"/>
        <v>-5.9829059829058558E-3</v>
      </c>
      <c r="N36" s="44">
        <f>IF(M35="","",(N35-M35)/M35)</f>
        <v>1.5477214101461712E-2</v>
      </c>
    </row>
    <row r="37" spans="3:24" ht="14.5" thickBot="1" x14ac:dyDescent="0.4">
      <c r="F37" s="44"/>
      <c r="G37" s="44"/>
      <c r="H37" s="44"/>
      <c r="I37" s="44"/>
      <c r="J37" s="44"/>
      <c r="K37" s="44"/>
      <c r="L37" s="44"/>
      <c r="M37" s="44"/>
      <c r="N37" s="44"/>
    </row>
    <row r="38" spans="3:24" x14ac:dyDescent="0.35">
      <c r="G38" s="108"/>
      <c r="H38" s="134" t="s">
        <v>30</v>
      </c>
      <c r="I38" s="134"/>
      <c r="J38" s="134"/>
      <c r="K38" s="134" t="s">
        <v>31</v>
      </c>
      <c r="L38" s="135"/>
    </row>
    <row r="39" spans="3:24" ht="14.5" thickBot="1" x14ac:dyDescent="0.4">
      <c r="G39" s="109"/>
      <c r="H39" s="69" t="s">
        <v>32</v>
      </c>
      <c r="I39" s="69" t="s">
        <v>33</v>
      </c>
      <c r="J39" s="69" t="s">
        <v>34</v>
      </c>
      <c r="K39" s="70" t="s">
        <v>32</v>
      </c>
      <c r="L39" s="71" t="s">
        <v>33</v>
      </c>
    </row>
    <row r="40" spans="3:24" x14ac:dyDescent="0.35">
      <c r="G40" s="72" t="s">
        <v>35</v>
      </c>
      <c r="H40" s="73">
        <f>C20</f>
        <v>15.329556673855741</v>
      </c>
      <c r="I40" s="73">
        <f>IF($H$40="","",($N$6*$N$4+N29)/N17)</f>
        <v>13.110759645339085</v>
      </c>
      <c r="J40" s="74">
        <f>IF(H40="","",(AVERAGE(F30:N30)))</f>
        <v>17.389057701466179</v>
      </c>
      <c r="K40" s="75">
        <f>IF(J40="","",(J40-H40)/H40)</f>
        <v>0.1343483749352567</v>
      </c>
      <c r="L40" s="76">
        <f>IF(J40="","",((J40-I40)/I40))</f>
        <v>0.32631961624344485</v>
      </c>
    </row>
    <row r="41" spans="3:24" x14ac:dyDescent="0.35">
      <c r="G41" s="77" t="s">
        <v>36</v>
      </c>
      <c r="H41" s="40">
        <f>IF(H40="","",C21/N13)</f>
        <v>16.068887214267775</v>
      </c>
      <c r="I41" s="40">
        <f>IF($H$41="","",($N$6*$N$4+N29)/N13)</f>
        <v>13.743079628234113</v>
      </c>
      <c r="J41" s="78">
        <f>IF(H41="","",(AVERAGE(F31:N31)))</f>
        <v>13.934531219684059</v>
      </c>
      <c r="K41" s="44">
        <f t="shared" ref="K41:K42" si="32">IF(J41="","",(J41-H41)/H41)</f>
        <v>-0.13282537652567464</v>
      </c>
      <c r="L41" s="79">
        <f t="shared" ref="L41:L42" si="33">IF(J41="","",((J41-I41)/I41))</f>
        <v>1.3930763455421082E-2</v>
      </c>
      <c r="M41" s="68"/>
    </row>
    <row r="42" spans="3:24" x14ac:dyDescent="0.35">
      <c r="G42" s="77" t="s">
        <v>37</v>
      </c>
      <c r="H42" s="40">
        <f>IF(H40="","",C21/N12)</f>
        <v>7.0576169461606364</v>
      </c>
      <c r="I42" s="40">
        <f>IF($H$42="","",($N$6*$N$4+N29)/N12)</f>
        <v>6.0360988526037076</v>
      </c>
      <c r="J42" s="78">
        <f>IF(H42="","",(AVERAGE(F32:N32)))</f>
        <v>5.1147202655650545</v>
      </c>
      <c r="K42" s="44">
        <f t="shared" si="32"/>
        <v>-0.27529075258930324</v>
      </c>
      <c r="L42" s="79">
        <f t="shared" si="33"/>
        <v>-0.1526447146638778</v>
      </c>
    </row>
  </sheetData>
  <sheetProtection selectLockedCells="1"/>
  <mergeCells count="3">
    <mergeCell ref="B28:C28"/>
    <mergeCell ref="K38:L38"/>
    <mergeCell ref="H38:J38"/>
  </mergeCells>
  <conditionalFormatting sqref="N7">
    <cfRule type="cellIs" dxfId="1" priority="1" operator="greaterThanOrEqual">
      <formula>0</formula>
    </cfRule>
    <cfRule type="cellIs" dxfId="0" priority="2" operator="lessThan">
      <formula>0</formula>
    </cfRule>
  </conditionalFormatting>
  <dataValidations disablePrompts="1" count="2">
    <dataValidation type="list" allowBlank="1" showInputMessage="1" showErrorMessage="1" promptTitle="Último año" prompt="Selecciona el último año de resultados." sqref="C25" xr:uid="{BD8B5EF7-51D2-4B90-9374-03DAF859A21D}">
      <formula1>$AB$7:$AB$19</formula1>
    </dataValidation>
    <dataValidation type="list" allowBlank="1" showInputMessage="1" showErrorMessage="1" promptTitle="Mes de cierre" prompt="Selecciona el mes en el que la empresa cierra el ejercicio." sqref="C24" xr:uid="{184D2E5E-1937-40BE-B877-399DD8193CBB}">
      <formula1>$AA$7:$AA$19</formula1>
    </dataValidation>
  </dataValidations>
  <pageMargins left="0" right="0" top="0" bottom="0" header="0" footer="0"/>
  <pageSetup paperSize="9" orientation="landscape" horizontalDpi="1200" verticalDpi="1200" r:id="rId1"/>
  <ignoredErrors>
    <ignoredError sqref="I4:J4 F17:N17 I5:J5" unlockedFormula="1"/>
    <ignoredError sqref="O12:Q19" evalError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Valoración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López Moroño</dc:creator>
  <cp:lastModifiedBy>Lucas López Moroño</cp:lastModifiedBy>
  <dcterms:created xsi:type="dcterms:W3CDTF">2020-05-24T10:41:10Z</dcterms:created>
  <dcterms:modified xsi:type="dcterms:W3CDTF">2023-01-21T14:59:04Z</dcterms:modified>
</cp:coreProperties>
</file>